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giuliano/Library/Mobile Documents/com~apple~CloudDocs/Università/MSc in Management/2026:27/I semestre [EMN]/Investment &amp; Financing Strategy/[04] CA Final Export/"/>
    </mc:Choice>
  </mc:AlternateContent>
  <xr:revisionPtr revIDLastSave="0" documentId="8_{9B8F6309-B82E-0D43-84F2-CA47D4FDF6F3}" xr6:coauthVersionLast="47" xr6:coauthVersionMax="47" xr10:uidLastSave="{00000000-0000-0000-0000-000000000000}"/>
  <bookViews>
    <workbookView xWindow="20480" yWindow="500" windowWidth="20480" windowHeight="23880" xr2:uid="{207755E5-449B-0E43-A03E-142B44B316A6}"/>
  </bookViews>
  <sheets>
    <sheet name="SUMMARY 1 - Global View" sheetId="15" r:id="rId1"/>
    <sheet name="Inputs" sheetId="1" r:id="rId2"/>
    <sheet name="Historical" sheetId="2" r:id="rId3"/>
    <sheet name="WACC" sheetId="3" r:id="rId4"/>
    <sheet name="DCF_Pirelli" sheetId="4" r:id="rId5"/>
    <sheet name="DCF_Hankook" sheetId="5" r:id="rId6"/>
    <sheet name="Multiples" sheetId="6" r:id="rId7"/>
    <sheet name="NAV" sheetId="17" r:id="rId8"/>
    <sheet name="SUMMARY 2 - Valuation" sheetId="7" r:id="rId9"/>
    <sheet name="Proj_Inputs" sheetId="8" r:id="rId10"/>
    <sheet name="NPV_Pirelli" sheetId="9" r:id="rId11"/>
    <sheet name="NPV_Hankook" sheetId="10" r:id="rId12"/>
    <sheet name="Risk_Analysis" sheetId="13" r:id="rId13"/>
    <sheet name="SUMMARY 3 - Projects" sheetId="14" r:id="rId1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29" i="17" l="1"/>
  <c r="B35" i="9"/>
  <c r="B24" i="6"/>
  <c r="C40" i="3"/>
  <c r="B40" i="3"/>
  <c r="C22" i="2"/>
  <c r="B56" i="7"/>
  <c r="C57" i="7"/>
  <c r="C56" i="7"/>
  <c r="C55" i="7"/>
  <c r="C54" i="7"/>
  <c r="C53" i="7"/>
  <c r="B57" i="7"/>
  <c r="B55" i="7"/>
  <c r="B54" i="7"/>
  <c r="B53" i="7"/>
  <c r="B36" i="15"/>
  <c r="C37" i="15"/>
  <c r="B37" i="15"/>
  <c r="C36" i="15"/>
  <c r="C35" i="15"/>
  <c r="B35" i="15"/>
  <c r="C34" i="15"/>
  <c r="B34" i="15"/>
  <c r="C12" i="17"/>
  <c r="J30" i="17"/>
  <c r="E30" i="17"/>
  <c r="J27" i="17"/>
  <c r="E27" i="17"/>
  <c r="B27" i="17"/>
  <c r="E15" i="17"/>
  <c r="E13" i="17"/>
  <c r="E12" i="17"/>
  <c r="K7" i="17"/>
  <c r="K6" i="17"/>
  <c r="E7" i="17"/>
  <c r="E6" i="17"/>
  <c r="E5" i="17"/>
  <c r="K5" i="17"/>
  <c r="C30" i="17"/>
  <c r="C27" i="17"/>
  <c r="B30" i="17"/>
  <c r="C23" i="17"/>
  <c r="C21" i="17"/>
  <c r="B23" i="17"/>
  <c r="B21" i="17"/>
  <c r="B16" i="17"/>
  <c r="B20" i="17" s="1"/>
  <c r="B22" i="17" s="1"/>
  <c r="B24" i="17" s="1"/>
  <c r="C15" i="17"/>
  <c r="C14" i="17"/>
  <c r="C16" i="17" s="1"/>
  <c r="C20" i="17" s="1"/>
  <c r="C22" i="17" s="1"/>
  <c r="C24" i="17" s="1"/>
  <c r="C29" i="17" s="1"/>
  <c r="B9" i="17"/>
  <c r="C8" i="17"/>
  <c r="B8" i="17"/>
  <c r="B28" i="17" s="1"/>
  <c r="B19" i="8"/>
  <c r="B13" i="8"/>
  <c r="B10" i="8"/>
  <c r="B31" i="4"/>
  <c r="B32" i="6"/>
  <c r="C5" i="14"/>
  <c r="B5" i="14"/>
  <c r="C22" i="15"/>
  <c r="B22" i="15"/>
  <c r="Z13" i="9"/>
  <c r="Y13" i="9"/>
  <c r="B4" i="10"/>
  <c r="B4" i="9"/>
  <c r="C4" i="9"/>
  <c r="D4" i="9" s="1"/>
  <c r="H26" i="13"/>
  <c r="I26" i="13"/>
  <c r="J26" i="13"/>
  <c r="K26" i="13"/>
  <c r="L26" i="13"/>
  <c r="M26" i="13"/>
  <c r="H27" i="13"/>
  <c r="I27" i="13"/>
  <c r="J27" i="13"/>
  <c r="K27" i="13"/>
  <c r="L27" i="13"/>
  <c r="M27" i="13"/>
  <c r="H28" i="13"/>
  <c r="I28" i="13"/>
  <c r="J28" i="13"/>
  <c r="K28" i="13"/>
  <c r="L28" i="13"/>
  <c r="M28" i="13"/>
  <c r="H29" i="13"/>
  <c r="I29" i="13"/>
  <c r="J29" i="13"/>
  <c r="K29" i="13"/>
  <c r="L29" i="13"/>
  <c r="M29" i="13"/>
  <c r="H30" i="13"/>
  <c r="I30" i="13"/>
  <c r="J30" i="13"/>
  <c r="K30" i="13"/>
  <c r="L30" i="13"/>
  <c r="M30" i="13"/>
  <c r="H31" i="13"/>
  <c r="I31" i="13"/>
  <c r="J31" i="13"/>
  <c r="K31" i="13"/>
  <c r="L31" i="13"/>
  <c r="M31" i="13"/>
  <c r="H32" i="13"/>
  <c r="I32" i="13"/>
  <c r="J32" i="13"/>
  <c r="K32" i="13"/>
  <c r="L32" i="13"/>
  <c r="M32" i="13"/>
  <c r="H33" i="13"/>
  <c r="I33" i="13"/>
  <c r="J33" i="13"/>
  <c r="K33" i="13"/>
  <c r="L33" i="13"/>
  <c r="M33" i="13"/>
  <c r="H34" i="13"/>
  <c r="I34" i="13"/>
  <c r="J34" i="13"/>
  <c r="K34" i="13"/>
  <c r="L34" i="13"/>
  <c r="M34" i="13"/>
  <c r="H35" i="13"/>
  <c r="I35" i="13"/>
  <c r="J35" i="13"/>
  <c r="K35" i="13"/>
  <c r="L35" i="13"/>
  <c r="M35" i="13"/>
  <c r="H36" i="13"/>
  <c r="I36" i="13"/>
  <c r="J36" i="13"/>
  <c r="K36" i="13"/>
  <c r="L36" i="13"/>
  <c r="M36" i="13"/>
  <c r="H37" i="13"/>
  <c r="I37" i="13"/>
  <c r="J37" i="13"/>
  <c r="K37" i="13"/>
  <c r="L37" i="13"/>
  <c r="M37" i="13"/>
  <c r="H38" i="13"/>
  <c r="I38" i="13"/>
  <c r="J38" i="13"/>
  <c r="K38" i="13"/>
  <c r="L38" i="13"/>
  <c r="M38" i="13"/>
  <c r="H39" i="13"/>
  <c r="I39" i="13"/>
  <c r="J39" i="13"/>
  <c r="K39" i="13"/>
  <c r="L39" i="13"/>
  <c r="M39" i="13"/>
  <c r="H40" i="13"/>
  <c r="I40" i="13"/>
  <c r="J40" i="13"/>
  <c r="K40" i="13"/>
  <c r="L40" i="13"/>
  <c r="M40" i="13"/>
  <c r="H41" i="13"/>
  <c r="I41" i="13"/>
  <c r="J41" i="13"/>
  <c r="K41" i="13"/>
  <c r="L41" i="13"/>
  <c r="M41" i="13"/>
  <c r="H42" i="13"/>
  <c r="I42" i="13"/>
  <c r="J42" i="13"/>
  <c r="K42" i="13"/>
  <c r="L42" i="13"/>
  <c r="M42" i="13"/>
  <c r="H43" i="13"/>
  <c r="I43" i="13"/>
  <c r="J43" i="13"/>
  <c r="K43" i="13"/>
  <c r="L43" i="13"/>
  <c r="M43" i="13"/>
  <c r="H44" i="13"/>
  <c r="I44" i="13"/>
  <c r="J44" i="13"/>
  <c r="K44" i="13"/>
  <c r="L44" i="13"/>
  <c r="M44" i="13"/>
  <c r="H45" i="13"/>
  <c r="I45" i="13"/>
  <c r="J45" i="13"/>
  <c r="K45" i="13"/>
  <c r="L45" i="13"/>
  <c r="M45" i="13"/>
  <c r="H46" i="13"/>
  <c r="I46" i="13"/>
  <c r="J46" i="13"/>
  <c r="K46" i="13"/>
  <c r="L46" i="13"/>
  <c r="M46" i="13"/>
  <c r="H47" i="13"/>
  <c r="I47" i="13"/>
  <c r="J47" i="13"/>
  <c r="K47" i="13"/>
  <c r="L47" i="13"/>
  <c r="M47" i="13"/>
  <c r="H48" i="13"/>
  <c r="I48" i="13"/>
  <c r="J48" i="13"/>
  <c r="K48" i="13"/>
  <c r="L48" i="13"/>
  <c r="M48" i="13"/>
  <c r="H49" i="13"/>
  <c r="I49" i="13"/>
  <c r="J49" i="13"/>
  <c r="K49" i="13"/>
  <c r="L49" i="13"/>
  <c r="M49" i="13"/>
  <c r="H50" i="13"/>
  <c r="I50" i="13"/>
  <c r="J50" i="13"/>
  <c r="K50" i="13"/>
  <c r="L50" i="13"/>
  <c r="M50" i="13"/>
  <c r="H51" i="13"/>
  <c r="I51" i="13"/>
  <c r="J51" i="13"/>
  <c r="K51" i="13"/>
  <c r="L51" i="13"/>
  <c r="M51" i="13"/>
  <c r="H52" i="13"/>
  <c r="I52" i="13"/>
  <c r="J52" i="13"/>
  <c r="K52" i="13"/>
  <c r="L52" i="13"/>
  <c r="M52" i="13"/>
  <c r="H53" i="13"/>
  <c r="I53" i="13"/>
  <c r="J53" i="13"/>
  <c r="K53" i="13"/>
  <c r="L53" i="13"/>
  <c r="M53" i="13"/>
  <c r="H54" i="13"/>
  <c r="I54" i="13"/>
  <c r="J54" i="13"/>
  <c r="K54" i="13"/>
  <c r="L54" i="13"/>
  <c r="M54" i="13"/>
  <c r="H55" i="13"/>
  <c r="I55" i="13"/>
  <c r="J55" i="13"/>
  <c r="K55" i="13"/>
  <c r="L55" i="13"/>
  <c r="M55" i="13"/>
  <c r="H56" i="13"/>
  <c r="I56" i="13"/>
  <c r="J56" i="13"/>
  <c r="K56" i="13"/>
  <c r="L56" i="13"/>
  <c r="M56" i="13"/>
  <c r="H57" i="13"/>
  <c r="I57" i="13"/>
  <c r="J57" i="13"/>
  <c r="K57" i="13"/>
  <c r="L57" i="13"/>
  <c r="M57" i="13"/>
  <c r="H58" i="13"/>
  <c r="I58" i="13"/>
  <c r="J58" i="13"/>
  <c r="K58" i="13"/>
  <c r="L58" i="13"/>
  <c r="M58" i="13"/>
  <c r="H59" i="13"/>
  <c r="I59" i="13"/>
  <c r="J59" i="13"/>
  <c r="K59" i="13"/>
  <c r="L59" i="13"/>
  <c r="M59" i="13"/>
  <c r="H60" i="13"/>
  <c r="I60" i="13"/>
  <c r="J60" i="13"/>
  <c r="K60" i="13"/>
  <c r="L60" i="13"/>
  <c r="M60" i="13"/>
  <c r="H61" i="13"/>
  <c r="I61" i="13"/>
  <c r="J61" i="13"/>
  <c r="K61" i="13"/>
  <c r="L61" i="13"/>
  <c r="M61" i="13"/>
  <c r="H62" i="13"/>
  <c r="I62" i="13"/>
  <c r="J62" i="13"/>
  <c r="K62" i="13"/>
  <c r="L62" i="13"/>
  <c r="M62" i="13"/>
  <c r="H63" i="13"/>
  <c r="I63" i="13"/>
  <c r="J63" i="13"/>
  <c r="K63" i="13"/>
  <c r="L63" i="13"/>
  <c r="M63" i="13"/>
  <c r="H64" i="13"/>
  <c r="I64" i="13"/>
  <c r="J64" i="13"/>
  <c r="K64" i="13"/>
  <c r="L64" i="13"/>
  <c r="M64" i="13"/>
  <c r="H65" i="13"/>
  <c r="I65" i="13"/>
  <c r="J65" i="13"/>
  <c r="K65" i="13"/>
  <c r="L65" i="13"/>
  <c r="M65" i="13"/>
  <c r="H66" i="13"/>
  <c r="I66" i="13"/>
  <c r="J66" i="13"/>
  <c r="K66" i="13"/>
  <c r="L66" i="13"/>
  <c r="M66" i="13"/>
  <c r="H67" i="13"/>
  <c r="I67" i="13"/>
  <c r="J67" i="13"/>
  <c r="K67" i="13"/>
  <c r="L67" i="13"/>
  <c r="M67" i="13"/>
  <c r="H68" i="13"/>
  <c r="I68" i="13"/>
  <c r="J68" i="13"/>
  <c r="K68" i="13"/>
  <c r="L68" i="13"/>
  <c r="M68" i="13"/>
  <c r="H69" i="13"/>
  <c r="I69" i="13"/>
  <c r="J69" i="13"/>
  <c r="K69" i="13"/>
  <c r="L69" i="13"/>
  <c r="M69" i="13"/>
  <c r="H70" i="13"/>
  <c r="I70" i="13"/>
  <c r="J70" i="13"/>
  <c r="K70" i="13"/>
  <c r="L70" i="13"/>
  <c r="M70" i="13"/>
  <c r="H71" i="13"/>
  <c r="I71" i="13"/>
  <c r="J71" i="13"/>
  <c r="K71" i="13"/>
  <c r="L71" i="13"/>
  <c r="M71" i="13"/>
  <c r="H72" i="13"/>
  <c r="I72" i="13"/>
  <c r="J72" i="13"/>
  <c r="K72" i="13"/>
  <c r="L72" i="13"/>
  <c r="M72" i="13"/>
  <c r="H73" i="13"/>
  <c r="I73" i="13"/>
  <c r="J73" i="13"/>
  <c r="K73" i="13"/>
  <c r="L73" i="13"/>
  <c r="M73" i="13"/>
  <c r="H74" i="13"/>
  <c r="I74" i="13"/>
  <c r="J74" i="13"/>
  <c r="K74" i="13"/>
  <c r="L74" i="13"/>
  <c r="M74" i="13"/>
  <c r="H75" i="13"/>
  <c r="I75" i="13"/>
  <c r="J75" i="13"/>
  <c r="K75" i="13"/>
  <c r="L75" i="13"/>
  <c r="M75" i="13"/>
  <c r="H76" i="13"/>
  <c r="I76" i="13"/>
  <c r="J76" i="13"/>
  <c r="K76" i="13"/>
  <c r="L76" i="13"/>
  <c r="M76" i="13"/>
  <c r="H77" i="13"/>
  <c r="I77" i="13"/>
  <c r="J77" i="13"/>
  <c r="K77" i="13"/>
  <c r="L77" i="13"/>
  <c r="M77" i="13"/>
  <c r="H78" i="13"/>
  <c r="I78" i="13"/>
  <c r="J78" i="13"/>
  <c r="K78" i="13"/>
  <c r="L78" i="13"/>
  <c r="M78" i="13"/>
  <c r="H79" i="13"/>
  <c r="I79" i="13"/>
  <c r="J79" i="13"/>
  <c r="K79" i="13"/>
  <c r="L79" i="13"/>
  <c r="M79" i="13"/>
  <c r="H80" i="13"/>
  <c r="I80" i="13"/>
  <c r="J80" i="13"/>
  <c r="K80" i="13"/>
  <c r="L80" i="13"/>
  <c r="M80" i="13"/>
  <c r="H81" i="13"/>
  <c r="I81" i="13"/>
  <c r="J81" i="13"/>
  <c r="K81" i="13"/>
  <c r="L81" i="13"/>
  <c r="M81" i="13"/>
  <c r="H82" i="13"/>
  <c r="I82" i="13"/>
  <c r="J82" i="13"/>
  <c r="K82" i="13"/>
  <c r="L82" i="13"/>
  <c r="M82" i="13"/>
  <c r="H83" i="13"/>
  <c r="I83" i="13"/>
  <c r="J83" i="13"/>
  <c r="K83" i="13"/>
  <c r="L83" i="13"/>
  <c r="M83" i="13"/>
  <c r="H84" i="13"/>
  <c r="I84" i="13"/>
  <c r="J84" i="13"/>
  <c r="K84" i="13"/>
  <c r="L84" i="13"/>
  <c r="M84" i="13"/>
  <c r="H85" i="13"/>
  <c r="I85" i="13"/>
  <c r="J85" i="13"/>
  <c r="K85" i="13"/>
  <c r="L85" i="13"/>
  <c r="M85" i="13"/>
  <c r="H86" i="13"/>
  <c r="I86" i="13"/>
  <c r="J86" i="13"/>
  <c r="K86" i="13"/>
  <c r="L86" i="13"/>
  <c r="M86" i="13"/>
  <c r="H87" i="13"/>
  <c r="I87" i="13"/>
  <c r="J87" i="13"/>
  <c r="K87" i="13"/>
  <c r="L87" i="13"/>
  <c r="M87" i="13"/>
  <c r="H88" i="13"/>
  <c r="I88" i="13"/>
  <c r="J88" i="13"/>
  <c r="K88" i="13"/>
  <c r="L88" i="13"/>
  <c r="M88" i="13"/>
  <c r="H89" i="13"/>
  <c r="I89" i="13"/>
  <c r="J89" i="13"/>
  <c r="K89" i="13"/>
  <c r="L89" i="13"/>
  <c r="M89" i="13"/>
  <c r="H90" i="13"/>
  <c r="I90" i="13"/>
  <c r="J90" i="13"/>
  <c r="K90" i="13"/>
  <c r="L90" i="13"/>
  <c r="M90" i="13"/>
  <c r="H91" i="13"/>
  <c r="I91" i="13"/>
  <c r="J91" i="13"/>
  <c r="K91" i="13"/>
  <c r="L91" i="13"/>
  <c r="M91" i="13"/>
  <c r="H92" i="13"/>
  <c r="I92" i="13"/>
  <c r="J92" i="13"/>
  <c r="K92" i="13"/>
  <c r="L92" i="13"/>
  <c r="M92" i="13"/>
  <c r="H93" i="13"/>
  <c r="I93" i="13"/>
  <c r="J93" i="13"/>
  <c r="K93" i="13"/>
  <c r="L93" i="13"/>
  <c r="M93" i="13"/>
  <c r="H94" i="13"/>
  <c r="I94" i="13"/>
  <c r="J94" i="13"/>
  <c r="K94" i="13"/>
  <c r="L94" i="13"/>
  <c r="M94" i="13"/>
  <c r="H95" i="13"/>
  <c r="I95" i="13"/>
  <c r="J95" i="13"/>
  <c r="K95" i="13"/>
  <c r="L95" i="13"/>
  <c r="M95" i="13"/>
  <c r="H96" i="13"/>
  <c r="I96" i="13"/>
  <c r="J96" i="13"/>
  <c r="K96" i="13"/>
  <c r="L96" i="13"/>
  <c r="M96" i="13"/>
  <c r="H97" i="13"/>
  <c r="I97" i="13"/>
  <c r="J97" i="13"/>
  <c r="K97" i="13"/>
  <c r="L97" i="13"/>
  <c r="M97" i="13"/>
  <c r="H98" i="13"/>
  <c r="I98" i="13"/>
  <c r="J98" i="13"/>
  <c r="K98" i="13"/>
  <c r="L98" i="13"/>
  <c r="M98" i="13"/>
  <c r="H99" i="13"/>
  <c r="I99" i="13"/>
  <c r="J99" i="13"/>
  <c r="K99" i="13"/>
  <c r="L99" i="13"/>
  <c r="M99" i="13"/>
  <c r="H100" i="13"/>
  <c r="I100" i="13"/>
  <c r="J100" i="13"/>
  <c r="K100" i="13"/>
  <c r="L100" i="13"/>
  <c r="M100" i="13"/>
  <c r="H101" i="13"/>
  <c r="I101" i="13"/>
  <c r="J101" i="13"/>
  <c r="K101" i="13"/>
  <c r="L101" i="13"/>
  <c r="M101" i="13"/>
  <c r="H102" i="13"/>
  <c r="I102" i="13"/>
  <c r="J102" i="13"/>
  <c r="K102" i="13"/>
  <c r="L102" i="13"/>
  <c r="M102" i="13"/>
  <c r="H103" i="13"/>
  <c r="I103" i="13"/>
  <c r="J103" i="13"/>
  <c r="K103" i="13"/>
  <c r="L103" i="13"/>
  <c r="M103" i="13"/>
  <c r="H104" i="13"/>
  <c r="I104" i="13"/>
  <c r="J104" i="13"/>
  <c r="K104" i="13"/>
  <c r="L104" i="13"/>
  <c r="M104" i="13"/>
  <c r="H105" i="13"/>
  <c r="I105" i="13"/>
  <c r="J105" i="13"/>
  <c r="K105" i="13"/>
  <c r="L105" i="13"/>
  <c r="M105" i="13"/>
  <c r="H106" i="13"/>
  <c r="I106" i="13"/>
  <c r="J106" i="13"/>
  <c r="K106" i="13"/>
  <c r="L106" i="13"/>
  <c r="M106" i="13"/>
  <c r="H107" i="13"/>
  <c r="I107" i="13"/>
  <c r="J107" i="13"/>
  <c r="K107" i="13"/>
  <c r="L107" i="13"/>
  <c r="M107" i="13"/>
  <c r="H108" i="13"/>
  <c r="I108" i="13"/>
  <c r="J108" i="13"/>
  <c r="K108" i="13"/>
  <c r="L108" i="13"/>
  <c r="M108" i="13"/>
  <c r="H109" i="13"/>
  <c r="I109" i="13"/>
  <c r="J109" i="13"/>
  <c r="K109" i="13"/>
  <c r="L109" i="13"/>
  <c r="M109" i="13"/>
  <c r="H110" i="13"/>
  <c r="I110" i="13"/>
  <c r="J110" i="13"/>
  <c r="K110" i="13"/>
  <c r="L110" i="13"/>
  <c r="M110" i="13"/>
  <c r="H111" i="13"/>
  <c r="I111" i="13"/>
  <c r="J111" i="13"/>
  <c r="K111" i="13"/>
  <c r="L111" i="13"/>
  <c r="M111" i="13"/>
  <c r="H112" i="13"/>
  <c r="I112" i="13"/>
  <c r="J112" i="13"/>
  <c r="K112" i="13"/>
  <c r="L112" i="13"/>
  <c r="M112" i="13"/>
  <c r="H113" i="13"/>
  <c r="I113" i="13"/>
  <c r="J113" i="13"/>
  <c r="K113" i="13"/>
  <c r="L113" i="13"/>
  <c r="M113" i="13"/>
  <c r="H114" i="13"/>
  <c r="I114" i="13"/>
  <c r="J114" i="13"/>
  <c r="K114" i="13"/>
  <c r="L114" i="13"/>
  <c r="M114" i="13"/>
  <c r="H115" i="13"/>
  <c r="I115" i="13"/>
  <c r="J115" i="13"/>
  <c r="K115" i="13"/>
  <c r="L115" i="13"/>
  <c r="M115" i="13"/>
  <c r="H116" i="13"/>
  <c r="I116" i="13"/>
  <c r="J116" i="13"/>
  <c r="K116" i="13"/>
  <c r="L116" i="13"/>
  <c r="M116" i="13"/>
  <c r="H117" i="13"/>
  <c r="I117" i="13"/>
  <c r="J117" i="13"/>
  <c r="K117" i="13"/>
  <c r="L117" i="13"/>
  <c r="M117" i="13"/>
  <c r="H118" i="13"/>
  <c r="I118" i="13"/>
  <c r="J118" i="13"/>
  <c r="K118" i="13"/>
  <c r="L118" i="13"/>
  <c r="M118" i="13"/>
  <c r="H119" i="13"/>
  <c r="I119" i="13"/>
  <c r="J119" i="13"/>
  <c r="K119" i="13"/>
  <c r="L119" i="13"/>
  <c r="M119" i="13"/>
  <c r="H120" i="13"/>
  <c r="I120" i="13"/>
  <c r="J120" i="13"/>
  <c r="K120" i="13"/>
  <c r="L120" i="13"/>
  <c r="M120" i="13"/>
  <c r="H121" i="13"/>
  <c r="I121" i="13"/>
  <c r="J121" i="13"/>
  <c r="K121" i="13"/>
  <c r="L121" i="13"/>
  <c r="M121" i="13"/>
  <c r="H122" i="13"/>
  <c r="I122" i="13"/>
  <c r="J122" i="13"/>
  <c r="K122" i="13"/>
  <c r="L122" i="13"/>
  <c r="M122" i="13"/>
  <c r="H123" i="13"/>
  <c r="I123" i="13"/>
  <c r="J123" i="13"/>
  <c r="K123" i="13"/>
  <c r="L123" i="13"/>
  <c r="M123" i="13"/>
  <c r="H124" i="13"/>
  <c r="I124" i="13"/>
  <c r="J124" i="13"/>
  <c r="K124" i="13"/>
  <c r="L124" i="13"/>
  <c r="M124" i="13"/>
  <c r="H125" i="13"/>
  <c r="I125" i="13"/>
  <c r="J125" i="13"/>
  <c r="K125" i="13"/>
  <c r="L125" i="13"/>
  <c r="M125" i="13"/>
  <c r="H126" i="13"/>
  <c r="I126" i="13"/>
  <c r="J126" i="13"/>
  <c r="K126" i="13"/>
  <c r="L126" i="13"/>
  <c r="M126" i="13"/>
  <c r="H127" i="13"/>
  <c r="I127" i="13"/>
  <c r="J127" i="13"/>
  <c r="K127" i="13"/>
  <c r="L127" i="13"/>
  <c r="M127" i="13"/>
  <c r="H128" i="13"/>
  <c r="I128" i="13"/>
  <c r="J128" i="13"/>
  <c r="K128" i="13"/>
  <c r="L128" i="13"/>
  <c r="M128" i="13"/>
  <c r="H129" i="13"/>
  <c r="I129" i="13"/>
  <c r="J129" i="13"/>
  <c r="K129" i="13"/>
  <c r="L129" i="13"/>
  <c r="M129" i="13"/>
  <c r="H130" i="13"/>
  <c r="I130" i="13"/>
  <c r="J130" i="13"/>
  <c r="K130" i="13"/>
  <c r="L130" i="13"/>
  <c r="M130" i="13"/>
  <c r="H131" i="13"/>
  <c r="I131" i="13"/>
  <c r="J131" i="13"/>
  <c r="K131" i="13"/>
  <c r="L131" i="13"/>
  <c r="M131" i="13"/>
  <c r="H132" i="13"/>
  <c r="I132" i="13"/>
  <c r="J132" i="13"/>
  <c r="K132" i="13"/>
  <c r="L132" i="13"/>
  <c r="M132" i="13"/>
  <c r="H133" i="13"/>
  <c r="I133" i="13"/>
  <c r="J133" i="13"/>
  <c r="K133" i="13"/>
  <c r="L133" i="13"/>
  <c r="M133" i="13"/>
  <c r="H134" i="13"/>
  <c r="I134" i="13"/>
  <c r="J134" i="13"/>
  <c r="K134" i="13"/>
  <c r="L134" i="13"/>
  <c r="M134" i="13"/>
  <c r="H135" i="13"/>
  <c r="I135" i="13"/>
  <c r="J135" i="13"/>
  <c r="K135" i="13"/>
  <c r="L135" i="13"/>
  <c r="M135" i="13"/>
  <c r="H136" i="13"/>
  <c r="I136" i="13"/>
  <c r="J136" i="13"/>
  <c r="K136" i="13"/>
  <c r="L136" i="13"/>
  <c r="M136" i="13"/>
  <c r="H137" i="13"/>
  <c r="I137" i="13"/>
  <c r="J137" i="13"/>
  <c r="K137" i="13"/>
  <c r="L137" i="13"/>
  <c r="M137" i="13"/>
  <c r="H138" i="13"/>
  <c r="I138" i="13"/>
  <c r="J138" i="13"/>
  <c r="K138" i="13"/>
  <c r="L138" i="13"/>
  <c r="M138" i="13"/>
  <c r="H139" i="13"/>
  <c r="I139" i="13"/>
  <c r="J139" i="13"/>
  <c r="K139" i="13"/>
  <c r="L139" i="13"/>
  <c r="M139" i="13"/>
  <c r="H140" i="13"/>
  <c r="I140" i="13"/>
  <c r="J140" i="13"/>
  <c r="K140" i="13"/>
  <c r="L140" i="13"/>
  <c r="M140" i="13"/>
  <c r="H141" i="13"/>
  <c r="I141" i="13"/>
  <c r="J141" i="13"/>
  <c r="K141" i="13"/>
  <c r="L141" i="13"/>
  <c r="M141" i="13"/>
  <c r="H142" i="13"/>
  <c r="I142" i="13"/>
  <c r="J142" i="13"/>
  <c r="K142" i="13"/>
  <c r="L142" i="13"/>
  <c r="M142" i="13"/>
  <c r="H143" i="13"/>
  <c r="I143" i="13"/>
  <c r="J143" i="13"/>
  <c r="K143" i="13"/>
  <c r="L143" i="13"/>
  <c r="M143" i="13"/>
  <c r="H144" i="13"/>
  <c r="I144" i="13"/>
  <c r="J144" i="13"/>
  <c r="K144" i="13"/>
  <c r="L144" i="13"/>
  <c r="M144" i="13"/>
  <c r="H145" i="13"/>
  <c r="I145" i="13"/>
  <c r="J145" i="13"/>
  <c r="K145" i="13"/>
  <c r="L145" i="13"/>
  <c r="M145" i="13"/>
  <c r="H146" i="13"/>
  <c r="I146" i="13"/>
  <c r="J146" i="13"/>
  <c r="K146" i="13"/>
  <c r="L146" i="13"/>
  <c r="M146" i="13"/>
  <c r="H147" i="13"/>
  <c r="I147" i="13"/>
  <c r="J147" i="13"/>
  <c r="K147" i="13"/>
  <c r="L147" i="13"/>
  <c r="M147" i="13"/>
  <c r="H148" i="13"/>
  <c r="I148" i="13"/>
  <c r="J148" i="13"/>
  <c r="K148" i="13"/>
  <c r="L148" i="13"/>
  <c r="M148" i="13"/>
  <c r="H149" i="13"/>
  <c r="I149" i="13"/>
  <c r="J149" i="13"/>
  <c r="K149" i="13"/>
  <c r="L149" i="13"/>
  <c r="M149" i="13"/>
  <c r="H150" i="13"/>
  <c r="I150" i="13"/>
  <c r="J150" i="13"/>
  <c r="K150" i="13"/>
  <c r="L150" i="13"/>
  <c r="M150" i="13"/>
  <c r="H151" i="13"/>
  <c r="I151" i="13"/>
  <c r="J151" i="13"/>
  <c r="K151" i="13"/>
  <c r="L151" i="13"/>
  <c r="M151" i="13"/>
  <c r="H152" i="13"/>
  <c r="I152" i="13"/>
  <c r="J152" i="13"/>
  <c r="K152" i="13"/>
  <c r="L152" i="13"/>
  <c r="M152" i="13"/>
  <c r="H153" i="13"/>
  <c r="I153" i="13"/>
  <c r="J153" i="13"/>
  <c r="K153" i="13"/>
  <c r="L153" i="13"/>
  <c r="M153" i="13"/>
  <c r="H154" i="13"/>
  <c r="I154" i="13"/>
  <c r="J154" i="13"/>
  <c r="K154" i="13"/>
  <c r="L154" i="13"/>
  <c r="M154" i="13"/>
  <c r="H155" i="13"/>
  <c r="I155" i="13"/>
  <c r="J155" i="13"/>
  <c r="K155" i="13"/>
  <c r="L155" i="13"/>
  <c r="M155" i="13"/>
  <c r="H156" i="13"/>
  <c r="I156" i="13"/>
  <c r="J156" i="13"/>
  <c r="K156" i="13"/>
  <c r="L156" i="13"/>
  <c r="M156" i="13"/>
  <c r="H157" i="13"/>
  <c r="I157" i="13"/>
  <c r="J157" i="13"/>
  <c r="K157" i="13"/>
  <c r="L157" i="13"/>
  <c r="M157" i="13"/>
  <c r="H158" i="13"/>
  <c r="I158" i="13"/>
  <c r="J158" i="13"/>
  <c r="K158" i="13"/>
  <c r="L158" i="13"/>
  <c r="M158" i="13"/>
  <c r="H159" i="13"/>
  <c r="I159" i="13"/>
  <c r="J159" i="13"/>
  <c r="K159" i="13"/>
  <c r="L159" i="13"/>
  <c r="M159" i="13"/>
  <c r="H160" i="13"/>
  <c r="I160" i="13"/>
  <c r="J160" i="13"/>
  <c r="K160" i="13"/>
  <c r="L160" i="13"/>
  <c r="M160" i="13"/>
  <c r="H161" i="13"/>
  <c r="I161" i="13"/>
  <c r="J161" i="13"/>
  <c r="K161" i="13"/>
  <c r="L161" i="13"/>
  <c r="M161" i="13"/>
  <c r="H162" i="13"/>
  <c r="I162" i="13"/>
  <c r="J162" i="13"/>
  <c r="K162" i="13"/>
  <c r="L162" i="13"/>
  <c r="M162" i="13"/>
  <c r="H163" i="13"/>
  <c r="I163" i="13"/>
  <c r="J163" i="13"/>
  <c r="K163" i="13"/>
  <c r="L163" i="13"/>
  <c r="M163" i="13"/>
  <c r="H164" i="13"/>
  <c r="I164" i="13"/>
  <c r="J164" i="13"/>
  <c r="K164" i="13"/>
  <c r="L164" i="13"/>
  <c r="M164" i="13"/>
  <c r="H165" i="13"/>
  <c r="I165" i="13"/>
  <c r="J165" i="13"/>
  <c r="K165" i="13"/>
  <c r="L165" i="13"/>
  <c r="M165" i="13"/>
  <c r="H166" i="13"/>
  <c r="I166" i="13"/>
  <c r="J166" i="13"/>
  <c r="K166" i="13"/>
  <c r="L166" i="13"/>
  <c r="M166" i="13"/>
  <c r="H167" i="13"/>
  <c r="I167" i="13"/>
  <c r="J167" i="13"/>
  <c r="K167" i="13"/>
  <c r="L167" i="13"/>
  <c r="M167" i="13"/>
  <c r="H168" i="13"/>
  <c r="I168" i="13"/>
  <c r="J168" i="13"/>
  <c r="K168" i="13"/>
  <c r="L168" i="13"/>
  <c r="M168" i="13"/>
  <c r="H169" i="13"/>
  <c r="I169" i="13"/>
  <c r="J169" i="13"/>
  <c r="K169" i="13"/>
  <c r="L169" i="13"/>
  <c r="M169" i="13"/>
  <c r="H170" i="13"/>
  <c r="I170" i="13"/>
  <c r="J170" i="13"/>
  <c r="K170" i="13"/>
  <c r="L170" i="13"/>
  <c r="M170" i="13"/>
  <c r="H171" i="13"/>
  <c r="I171" i="13"/>
  <c r="J171" i="13"/>
  <c r="K171" i="13"/>
  <c r="L171" i="13"/>
  <c r="M171" i="13"/>
  <c r="H172" i="13"/>
  <c r="I172" i="13"/>
  <c r="J172" i="13"/>
  <c r="K172" i="13"/>
  <c r="L172" i="13"/>
  <c r="M172" i="13"/>
  <c r="H173" i="13"/>
  <c r="I173" i="13"/>
  <c r="J173" i="13"/>
  <c r="K173" i="13"/>
  <c r="L173" i="13"/>
  <c r="M173" i="13"/>
  <c r="H174" i="13"/>
  <c r="I174" i="13"/>
  <c r="J174" i="13"/>
  <c r="K174" i="13"/>
  <c r="L174" i="13"/>
  <c r="M174" i="13"/>
  <c r="H175" i="13"/>
  <c r="I175" i="13"/>
  <c r="J175" i="13"/>
  <c r="K175" i="13"/>
  <c r="L175" i="13"/>
  <c r="M175" i="13"/>
  <c r="H176" i="13"/>
  <c r="I176" i="13"/>
  <c r="J176" i="13"/>
  <c r="K176" i="13"/>
  <c r="L176" i="13"/>
  <c r="M176" i="13"/>
  <c r="H177" i="13"/>
  <c r="I177" i="13"/>
  <c r="J177" i="13"/>
  <c r="K177" i="13"/>
  <c r="L177" i="13"/>
  <c r="M177" i="13"/>
  <c r="H178" i="13"/>
  <c r="I178" i="13"/>
  <c r="J178" i="13"/>
  <c r="K178" i="13"/>
  <c r="L178" i="13"/>
  <c r="M178" i="13"/>
  <c r="H179" i="13"/>
  <c r="I179" i="13"/>
  <c r="J179" i="13"/>
  <c r="K179" i="13"/>
  <c r="L179" i="13"/>
  <c r="M179" i="13"/>
  <c r="H180" i="13"/>
  <c r="I180" i="13"/>
  <c r="J180" i="13"/>
  <c r="K180" i="13"/>
  <c r="L180" i="13"/>
  <c r="M180" i="13"/>
  <c r="H181" i="13"/>
  <c r="I181" i="13"/>
  <c r="J181" i="13"/>
  <c r="K181" i="13"/>
  <c r="L181" i="13"/>
  <c r="M181" i="13"/>
  <c r="H182" i="13"/>
  <c r="I182" i="13"/>
  <c r="J182" i="13"/>
  <c r="K182" i="13"/>
  <c r="L182" i="13"/>
  <c r="M182" i="13"/>
  <c r="H183" i="13"/>
  <c r="I183" i="13"/>
  <c r="J183" i="13"/>
  <c r="K183" i="13"/>
  <c r="L183" i="13"/>
  <c r="M183" i="13"/>
  <c r="H184" i="13"/>
  <c r="I184" i="13"/>
  <c r="J184" i="13"/>
  <c r="K184" i="13"/>
  <c r="L184" i="13"/>
  <c r="M184" i="13"/>
  <c r="H185" i="13"/>
  <c r="I185" i="13"/>
  <c r="J185" i="13"/>
  <c r="K185" i="13"/>
  <c r="L185" i="13"/>
  <c r="M185" i="13"/>
  <c r="H186" i="13"/>
  <c r="I186" i="13"/>
  <c r="J186" i="13"/>
  <c r="K186" i="13"/>
  <c r="L186" i="13"/>
  <c r="M186" i="13"/>
  <c r="H187" i="13"/>
  <c r="I187" i="13"/>
  <c r="J187" i="13"/>
  <c r="K187" i="13"/>
  <c r="L187" i="13"/>
  <c r="M187" i="13"/>
  <c r="H188" i="13"/>
  <c r="I188" i="13"/>
  <c r="J188" i="13"/>
  <c r="K188" i="13"/>
  <c r="L188" i="13"/>
  <c r="M188" i="13"/>
  <c r="H189" i="13"/>
  <c r="I189" i="13"/>
  <c r="J189" i="13"/>
  <c r="K189" i="13"/>
  <c r="L189" i="13"/>
  <c r="M189" i="13"/>
  <c r="H190" i="13"/>
  <c r="I190" i="13"/>
  <c r="J190" i="13"/>
  <c r="K190" i="13"/>
  <c r="L190" i="13"/>
  <c r="M190" i="13"/>
  <c r="H191" i="13"/>
  <c r="I191" i="13"/>
  <c r="J191" i="13"/>
  <c r="K191" i="13"/>
  <c r="L191" i="13"/>
  <c r="M191" i="13"/>
  <c r="H192" i="13"/>
  <c r="I192" i="13"/>
  <c r="J192" i="13"/>
  <c r="K192" i="13"/>
  <c r="L192" i="13"/>
  <c r="M192" i="13"/>
  <c r="H193" i="13"/>
  <c r="I193" i="13"/>
  <c r="J193" i="13"/>
  <c r="K193" i="13"/>
  <c r="L193" i="13"/>
  <c r="M193" i="13"/>
  <c r="H194" i="13"/>
  <c r="I194" i="13"/>
  <c r="J194" i="13"/>
  <c r="K194" i="13"/>
  <c r="L194" i="13"/>
  <c r="M194" i="13"/>
  <c r="H195" i="13"/>
  <c r="I195" i="13"/>
  <c r="J195" i="13"/>
  <c r="K195" i="13"/>
  <c r="L195" i="13"/>
  <c r="M195" i="13"/>
  <c r="H196" i="13"/>
  <c r="I196" i="13"/>
  <c r="J196" i="13"/>
  <c r="K196" i="13"/>
  <c r="L196" i="13"/>
  <c r="M196" i="13"/>
  <c r="H197" i="13"/>
  <c r="I197" i="13"/>
  <c r="J197" i="13"/>
  <c r="K197" i="13"/>
  <c r="L197" i="13"/>
  <c r="M197" i="13"/>
  <c r="H198" i="13"/>
  <c r="I198" i="13"/>
  <c r="J198" i="13"/>
  <c r="K198" i="13"/>
  <c r="L198" i="13"/>
  <c r="M198" i="13"/>
  <c r="H199" i="13"/>
  <c r="I199" i="13"/>
  <c r="J199" i="13"/>
  <c r="K199" i="13"/>
  <c r="L199" i="13"/>
  <c r="M199" i="13"/>
  <c r="H200" i="13"/>
  <c r="I200" i="13"/>
  <c r="J200" i="13"/>
  <c r="K200" i="13"/>
  <c r="L200" i="13"/>
  <c r="M200" i="13"/>
  <c r="H201" i="13"/>
  <c r="I201" i="13"/>
  <c r="J201" i="13"/>
  <c r="K201" i="13"/>
  <c r="L201" i="13"/>
  <c r="M201" i="13"/>
  <c r="H202" i="13"/>
  <c r="I202" i="13"/>
  <c r="J202" i="13"/>
  <c r="K202" i="13"/>
  <c r="L202" i="13"/>
  <c r="M202" i="13"/>
  <c r="H203" i="13"/>
  <c r="I203" i="13"/>
  <c r="J203" i="13"/>
  <c r="K203" i="13"/>
  <c r="L203" i="13"/>
  <c r="M203" i="13"/>
  <c r="H204" i="13"/>
  <c r="I204" i="13"/>
  <c r="J204" i="13"/>
  <c r="K204" i="13"/>
  <c r="L204" i="13"/>
  <c r="M204" i="13"/>
  <c r="H205" i="13"/>
  <c r="I205" i="13"/>
  <c r="J205" i="13"/>
  <c r="K205" i="13"/>
  <c r="L205" i="13"/>
  <c r="M205" i="13"/>
  <c r="H206" i="13"/>
  <c r="I206" i="13"/>
  <c r="J206" i="13"/>
  <c r="K206" i="13"/>
  <c r="L206" i="13"/>
  <c r="M206" i="13"/>
  <c r="H207" i="13"/>
  <c r="I207" i="13"/>
  <c r="J207" i="13"/>
  <c r="K207" i="13"/>
  <c r="L207" i="13"/>
  <c r="M207" i="13"/>
  <c r="H208" i="13"/>
  <c r="I208" i="13"/>
  <c r="J208" i="13"/>
  <c r="K208" i="13"/>
  <c r="L208" i="13"/>
  <c r="M208" i="13"/>
  <c r="H209" i="13"/>
  <c r="I209" i="13"/>
  <c r="J209" i="13"/>
  <c r="K209" i="13"/>
  <c r="L209" i="13"/>
  <c r="M209" i="13"/>
  <c r="H210" i="13"/>
  <c r="I210" i="13"/>
  <c r="J210" i="13"/>
  <c r="K210" i="13"/>
  <c r="L210" i="13"/>
  <c r="M210" i="13"/>
  <c r="H211" i="13"/>
  <c r="I211" i="13"/>
  <c r="J211" i="13"/>
  <c r="K211" i="13"/>
  <c r="L211" i="13"/>
  <c r="M211" i="13"/>
  <c r="H212" i="13"/>
  <c r="I212" i="13"/>
  <c r="J212" i="13"/>
  <c r="K212" i="13"/>
  <c r="L212" i="13"/>
  <c r="M212" i="13"/>
  <c r="H213" i="13"/>
  <c r="I213" i="13"/>
  <c r="J213" i="13"/>
  <c r="K213" i="13"/>
  <c r="L213" i="13"/>
  <c r="M213" i="13"/>
  <c r="H214" i="13"/>
  <c r="I214" i="13"/>
  <c r="J214" i="13"/>
  <c r="K214" i="13"/>
  <c r="L214" i="13"/>
  <c r="M214" i="13"/>
  <c r="H215" i="13"/>
  <c r="I215" i="13"/>
  <c r="J215" i="13"/>
  <c r="K215" i="13"/>
  <c r="L215" i="13"/>
  <c r="M215" i="13"/>
  <c r="H216" i="13"/>
  <c r="I216" i="13"/>
  <c r="J216" i="13"/>
  <c r="K216" i="13"/>
  <c r="L216" i="13"/>
  <c r="M216" i="13"/>
  <c r="H217" i="13"/>
  <c r="I217" i="13"/>
  <c r="J217" i="13"/>
  <c r="K217" i="13"/>
  <c r="L217" i="13"/>
  <c r="M217" i="13"/>
  <c r="H218" i="13"/>
  <c r="I218" i="13"/>
  <c r="J218" i="13"/>
  <c r="K218" i="13"/>
  <c r="L218" i="13"/>
  <c r="M218" i="13"/>
  <c r="H219" i="13"/>
  <c r="I219" i="13"/>
  <c r="J219" i="13"/>
  <c r="K219" i="13"/>
  <c r="L219" i="13"/>
  <c r="M219" i="13"/>
  <c r="H220" i="13"/>
  <c r="I220" i="13"/>
  <c r="J220" i="13"/>
  <c r="K220" i="13"/>
  <c r="L220" i="13"/>
  <c r="M220" i="13"/>
  <c r="H221" i="13"/>
  <c r="I221" i="13"/>
  <c r="J221" i="13"/>
  <c r="K221" i="13"/>
  <c r="L221" i="13"/>
  <c r="M221" i="13"/>
  <c r="H222" i="13"/>
  <c r="I222" i="13"/>
  <c r="J222" i="13"/>
  <c r="K222" i="13"/>
  <c r="L222" i="13"/>
  <c r="M222" i="13"/>
  <c r="H223" i="13"/>
  <c r="I223" i="13"/>
  <c r="J223" i="13"/>
  <c r="K223" i="13"/>
  <c r="L223" i="13"/>
  <c r="M223" i="13"/>
  <c r="H224" i="13"/>
  <c r="I224" i="13"/>
  <c r="J224" i="13"/>
  <c r="K224" i="13"/>
  <c r="L224" i="13"/>
  <c r="M224" i="13"/>
  <c r="H225" i="13"/>
  <c r="I225" i="13"/>
  <c r="J225" i="13"/>
  <c r="K225" i="13"/>
  <c r="L225" i="13"/>
  <c r="M225" i="13"/>
  <c r="H226" i="13"/>
  <c r="I226" i="13"/>
  <c r="J226" i="13"/>
  <c r="K226" i="13"/>
  <c r="L226" i="13"/>
  <c r="M226" i="13"/>
  <c r="H227" i="13"/>
  <c r="I227" i="13"/>
  <c r="J227" i="13"/>
  <c r="K227" i="13"/>
  <c r="L227" i="13"/>
  <c r="M227" i="13"/>
  <c r="H228" i="13"/>
  <c r="I228" i="13"/>
  <c r="J228" i="13"/>
  <c r="K228" i="13"/>
  <c r="L228" i="13"/>
  <c r="M228" i="13"/>
  <c r="H229" i="13"/>
  <c r="I229" i="13"/>
  <c r="J229" i="13"/>
  <c r="K229" i="13"/>
  <c r="L229" i="13"/>
  <c r="M229" i="13"/>
  <c r="H230" i="13"/>
  <c r="I230" i="13"/>
  <c r="J230" i="13"/>
  <c r="K230" i="13"/>
  <c r="L230" i="13"/>
  <c r="M230" i="13"/>
  <c r="H231" i="13"/>
  <c r="I231" i="13"/>
  <c r="J231" i="13"/>
  <c r="K231" i="13"/>
  <c r="L231" i="13"/>
  <c r="M231" i="13"/>
  <c r="H232" i="13"/>
  <c r="I232" i="13"/>
  <c r="J232" i="13"/>
  <c r="K232" i="13"/>
  <c r="L232" i="13"/>
  <c r="M232" i="13"/>
  <c r="H233" i="13"/>
  <c r="I233" i="13"/>
  <c r="J233" i="13"/>
  <c r="K233" i="13"/>
  <c r="L233" i="13"/>
  <c r="M233" i="13"/>
  <c r="H234" i="13"/>
  <c r="I234" i="13"/>
  <c r="J234" i="13"/>
  <c r="K234" i="13"/>
  <c r="L234" i="13"/>
  <c r="M234" i="13"/>
  <c r="H235" i="13"/>
  <c r="I235" i="13"/>
  <c r="J235" i="13"/>
  <c r="K235" i="13"/>
  <c r="L235" i="13"/>
  <c r="M235" i="13"/>
  <c r="H236" i="13"/>
  <c r="I236" i="13"/>
  <c r="J236" i="13"/>
  <c r="K236" i="13"/>
  <c r="L236" i="13"/>
  <c r="M236" i="13"/>
  <c r="H237" i="13"/>
  <c r="I237" i="13"/>
  <c r="J237" i="13"/>
  <c r="K237" i="13"/>
  <c r="L237" i="13"/>
  <c r="M237" i="13"/>
  <c r="H238" i="13"/>
  <c r="I238" i="13"/>
  <c r="J238" i="13"/>
  <c r="K238" i="13"/>
  <c r="L238" i="13"/>
  <c r="M238" i="13"/>
  <c r="H239" i="13"/>
  <c r="I239" i="13"/>
  <c r="J239" i="13"/>
  <c r="K239" i="13"/>
  <c r="L239" i="13"/>
  <c r="M239" i="13"/>
  <c r="H240" i="13"/>
  <c r="I240" i="13"/>
  <c r="J240" i="13"/>
  <c r="K240" i="13"/>
  <c r="L240" i="13"/>
  <c r="M240" i="13"/>
  <c r="H241" i="13"/>
  <c r="I241" i="13"/>
  <c r="J241" i="13"/>
  <c r="K241" i="13"/>
  <c r="L241" i="13"/>
  <c r="M241" i="13"/>
  <c r="H242" i="13"/>
  <c r="I242" i="13"/>
  <c r="J242" i="13"/>
  <c r="K242" i="13"/>
  <c r="L242" i="13"/>
  <c r="M242" i="13"/>
  <c r="H243" i="13"/>
  <c r="I243" i="13"/>
  <c r="J243" i="13"/>
  <c r="K243" i="13"/>
  <c r="L243" i="13"/>
  <c r="M243" i="13"/>
  <c r="H244" i="13"/>
  <c r="I244" i="13"/>
  <c r="J244" i="13"/>
  <c r="K244" i="13"/>
  <c r="L244" i="13"/>
  <c r="M244" i="13"/>
  <c r="H245" i="13"/>
  <c r="I245" i="13"/>
  <c r="J245" i="13"/>
  <c r="K245" i="13"/>
  <c r="L245" i="13"/>
  <c r="M245" i="13"/>
  <c r="H246" i="13"/>
  <c r="I246" i="13"/>
  <c r="J246" i="13"/>
  <c r="K246" i="13"/>
  <c r="L246" i="13"/>
  <c r="M246" i="13"/>
  <c r="H247" i="13"/>
  <c r="I247" i="13"/>
  <c r="J247" i="13"/>
  <c r="K247" i="13"/>
  <c r="L247" i="13"/>
  <c r="M247" i="13"/>
  <c r="H248" i="13"/>
  <c r="I248" i="13"/>
  <c r="J248" i="13"/>
  <c r="K248" i="13"/>
  <c r="L248" i="13"/>
  <c r="M248" i="13"/>
  <c r="H249" i="13"/>
  <c r="I249" i="13"/>
  <c r="J249" i="13"/>
  <c r="K249" i="13"/>
  <c r="L249" i="13"/>
  <c r="M249" i="13"/>
  <c r="H250" i="13"/>
  <c r="I250" i="13"/>
  <c r="J250" i="13"/>
  <c r="K250" i="13"/>
  <c r="L250" i="13"/>
  <c r="M250" i="13"/>
  <c r="H251" i="13"/>
  <c r="I251" i="13"/>
  <c r="J251" i="13"/>
  <c r="K251" i="13"/>
  <c r="L251" i="13"/>
  <c r="M251" i="13"/>
  <c r="H252" i="13"/>
  <c r="I252" i="13"/>
  <c r="J252" i="13"/>
  <c r="K252" i="13"/>
  <c r="L252" i="13"/>
  <c r="M252" i="13"/>
  <c r="H253" i="13"/>
  <c r="I253" i="13"/>
  <c r="J253" i="13"/>
  <c r="K253" i="13"/>
  <c r="L253" i="13"/>
  <c r="M253" i="13"/>
  <c r="H254" i="13"/>
  <c r="I254" i="13"/>
  <c r="J254" i="13"/>
  <c r="K254" i="13"/>
  <c r="L254" i="13"/>
  <c r="M254" i="13"/>
  <c r="H255" i="13"/>
  <c r="I255" i="13"/>
  <c r="J255" i="13"/>
  <c r="K255" i="13"/>
  <c r="L255" i="13"/>
  <c r="M255" i="13"/>
  <c r="H256" i="13"/>
  <c r="I256" i="13"/>
  <c r="J256" i="13"/>
  <c r="K256" i="13"/>
  <c r="L256" i="13"/>
  <c r="M256" i="13"/>
  <c r="H257" i="13"/>
  <c r="I257" i="13"/>
  <c r="J257" i="13"/>
  <c r="K257" i="13"/>
  <c r="L257" i="13"/>
  <c r="M257" i="13"/>
  <c r="H258" i="13"/>
  <c r="I258" i="13"/>
  <c r="J258" i="13"/>
  <c r="K258" i="13"/>
  <c r="L258" i="13"/>
  <c r="M258" i="13"/>
  <c r="H259" i="13"/>
  <c r="I259" i="13"/>
  <c r="J259" i="13"/>
  <c r="K259" i="13"/>
  <c r="L259" i="13"/>
  <c r="M259" i="13"/>
  <c r="H260" i="13"/>
  <c r="I260" i="13"/>
  <c r="J260" i="13"/>
  <c r="K260" i="13"/>
  <c r="L260" i="13"/>
  <c r="M260" i="13"/>
  <c r="H261" i="13"/>
  <c r="I261" i="13"/>
  <c r="J261" i="13"/>
  <c r="K261" i="13"/>
  <c r="L261" i="13"/>
  <c r="M261" i="13"/>
  <c r="H262" i="13"/>
  <c r="I262" i="13"/>
  <c r="J262" i="13"/>
  <c r="K262" i="13"/>
  <c r="L262" i="13"/>
  <c r="M262" i="13"/>
  <c r="H263" i="13"/>
  <c r="I263" i="13"/>
  <c r="J263" i="13"/>
  <c r="K263" i="13"/>
  <c r="L263" i="13"/>
  <c r="M263" i="13"/>
  <c r="H264" i="13"/>
  <c r="I264" i="13"/>
  <c r="J264" i="13"/>
  <c r="K264" i="13"/>
  <c r="L264" i="13"/>
  <c r="M264" i="13"/>
  <c r="H265" i="13"/>
  <c r="I265" i="13"/>
  <c r="J265" i="13"/>
  <c r="K265" i="13"/>
  <c r="L265" i="13"/>
  <c r="M265" i="13"/>
  <c r="H266" i="13"/>
  <c r="I266" i="13"/>
  <c r="J266" i="13"/>
  <c r="K266" i="13"/>
  <c r="L266" i="13"/>
  <c r="M266" i="13"/>
  <c r="H267" i="13"/>
  <c r="I267" i="13"/>
  <c r="J267" i="13"/>
  <c r="K267" i="13"/>
  <c r="L267" i="13"/>
  <c r="M267" i="13"/>
  <c r="H268" i="13"/>
  <c r="I268" i="13"/>
  <c r="J268" i="13"/>
  <c r="K268" i="13"/>
  <c r="L268" i="13"/>
  <c r="M268" i="13"/>
  <c r="H269" i="13"/>
  <c r="I269" i="13"/>
  <c r="J269" i="13"/>
  <c r="K269" i="13"/>
  <c r="L269" i="13"/>
  <c r="M269" i="13"/>
  <c r="H270" i="13"/>
  <c r="I270" i="13"/>
  <c r="J270" i="13"/>
  <c r="K270" i="13"/>
  <c r="L270" i="13"/>
  <c r="M270" i="13"/>
  <c r="H271" i="13"/>
  <c r="I271" i="13"/>
  <c r="J271" i="13"/>
  <c r="K271" i="13"/>
  <c r="L271" i="13"/>
  <c r="M271" i="13"/>
  <c r="H272" i="13"/>
  <c r="I272" i="13"/>
  <c r="J272" i="13"/>
  <c r="K272" i="13"/>
  <c r="L272" i="13"/>
  <c r="M272" i="13"/>
  <c r="H273" i="13"/>
  <c r="I273" i="13"/>
  <c r="J273" i="13"/>
  <c r="K273" i="13"/>
  <c r="L273" i="13"/>
  <c r="M273" i="13"/>
  <c r="H274" i="13"/>
  <c r="I274" i="13"/>
  <c r="J274" i="13"/>
  <c r="K274" i="13"/>
  <c r="L274" i="13"/>
  <c r="M274" i="13"/>
  <c r="H275" i="13"/>
  <c r="I275" i="13"/>
  <c r="J275" i="13"/>
  <c r="K275" i="13"/>
  <c r="L275" i="13"/>
  <c r="M275" i="13"/>
  <c r="H276" i="13"/>
  <c r="I276" i="13"/>
  <c r="J276" i="13"/>
  <c r="K276" i="13"/>
  <c r="L276" i="13"/>
  <c r="M276" i="13"/>
  <c r="H277" i="13"/>
  <c r="I277" i="13"/>
  <c r="J277" i="13"/>
  <c r="K277" i="13"/>
  <c r="L277" i="13"/>
  <c r="M277" i="13"/>
  <c r="H278" i="13"/>
  <c r="I278" i="13"/>
  <c r="J278" i="13"/>
  <c r="K278" i="13"/>
  <c r="L278" i="13"/>
  <c r="M278" i="13"/>
  <c r="H279" i="13"/>
  <c r="I279" i="13"/>
  <c r="J279" i="13"/>
  <c r="K279" i="13"/>
  <c r="L279" i="13"/>
  <c r="M279" i="13"/>
  <c r="H280" i="13"/>
  <c r="I280" i="13"/>
  <c r="J280" i="13"/>
  <c r="K280" i="13"/>
  <c r="L280" i="13"/>
  <c r="M280" i="13"/>
  <c r="H281" i="13"/>
  <c r="I281" i="13"/>
  <c r="J281" i="13"/>
  <c r="K281" i="13"/>
  <c r="L281" i="13"/>
  <c r="M281" i="13"/>
  <c r="H282" i="13"/>
  <c r="I282" i="13"/>
  <c r="J282" i="13"/>
  <c r="K282" i="13"/>
  <c r="L282" i="13"/>
  <c r="M282" i="13"/>
  <c r="H283" i="13"/>
  <c r="I283" i="13"/>
  <c r="J283" i="13"/>
  <c r="K283" i="13"/>
  <c r="L283" i="13"/>
  <c r="M283" i="13"/>
  <c r="H284" i="13"/>
  <c r="I284" i="13"/>
  <c r="J284" i="13"/>
  <c r="K284" i="13"/>
  <c r="L284" i="13"/>
  <c r="M284" i="13"/>
  <c r="H285" i="13"/>
  <c r="I285" i="13"/>
  <c r="J285" i="13"/>
  <c r="K285" i="13"/>
  <c r="L285" i="13"/>
  <c r="M285" i="13"/>
  <c r="H286" i="13"/>
  <c r="I286" i="13"/>
  <c r="J286" i="13"/>
  <c r="K286" i="13"/>
  <c r="L286" i="13"/>
  <c r="M286" i="13"/>
  <c r="H287" i="13"/>
  <c r="I287" i="13"/>
  <c r="J287" i="13"/>
  <c r="K287" i="13"/>
  <c r="L287" i="13"/>
  <c r="M287" i="13"/>
  <c r="H288" i="13"/>
  <c r="I288" i="13"/>
  <c r="J288" i="13"/>
  <c r="K288" i="13"/>
  <c r="L288" i="13"/>
  <c r="M288" i="13"/>
  <c r="H289" i="13"/>
  <c r="I289" i="13"/>
  <c r="J289" i="13"/>
  <c r="K289" i="13"/>
  <c r="L289" i="13"/>
  <c r="M289" i="13"/>
  <c r="H290" i="13"/>
  <c r="I290" i="13"/>
  <c r="J290" i="13"/>
  <c r="K290" i="13"/>
  <c r="L290" i="13"/>
  <c r="M290" i="13"/>
  <c r="H291" i="13"/>
  <c r="I291" i="13"/>
  <c r="J291" i="13"/>
  <c r="K291" i="13"/>
  <c r="L291" i="13"/>
  <c r="M291" i="13"/>
  <c r="H292" i="13"/>
  <c r="I292" i="13"/>
  <c r="J292" i="13"/>
  <c r="K292" i="13"/>
  <c r="L292" i="13"/>
  <c r="M292" i="13"/>
  <c r="H293" i="13"/>
  <c r="I293" i="13"/>
  <c r="J293" i="13"/>
  <c r="K293" i="13"/>
  <c r="L293" i="13"/>
  <c r="M293" i="13"/>
  <c r="H294" i="13"/>
  <c r="I294" i="13"/>
  <c r="J294" i="13"/>
  <c r="K294" i="13"/>
  <c r="L294" i="13"/>
  <c r="M294" i="13"/>
  <c r="H295" i="13"/>
  <c r="I295" i="13"/>
  <c r="J295" i="13"/>
  <c r="K295" i="13"/>
  <c r="L295" i="13"/>
  <c r="M295" i="13"/>
  <c r="H296" i="13"/>
  <c r="I296" i="13"/>
  <c r="J296" i="13"/>
  <c r="K296" i="13"/>
  <c r="L296" i="13"/>
  <c r="M296" i="13"/>
  <c r="H297" i="13"/>
  <c r="I297" i="13"/>
  <c r="J297" i="13"/>
  <c r="K297" i="13"/>
  <c r="L297" i="13"/>
  <c r="M297" i="13"/>
  <c r="H298" i="13"/>
  <c r="I298" i="13"/>
  <c r="J298" i="13"/>
  <c r="K298" i="13"/>
  <c r="L298" i="13"/>
  <c r="M298" i="13"/>
  <c r="H299" i="13"/>
  <c r="I299" i="13"/>
  <c r="J299" i="13"/>
  <c r="K299" i="13"/>
  <c r="L299" i="13"/>
  <c r="M299" i="13"/>
  <c r="H300" i="13"/>
  <c r="I300" i="13"/>
  <c r="J300" i="13"/>
  <c r="K300" i="13"/>
  <c r="L300" i="13"/>
  <c r="M300" i="13"/>
  <c r="H301" i="13"/>
  <c r="I301" i="13"/>
  <c r="J301" i="13"/>
  <c r="K301" i="13"/>
  <c r="L301" i="13"/>
  <c r="M301" i="13"/>
  <c r="H302" i="13"/>
  <c r="I302" i="13"/>
  <c r="J302" i="13"/>
  <c r="K302" i="13"/>
  <c r="L302" i="13"/>
  <c r="M302" i="13"/>
  <c r="H303" i="13"/>
  <c r="I303" i="13"/>
  <c r="J303" i="13"/>
  <c r="K303" i="13"/>
  <c r="L303" i="13"/>
  <c r="M303" i="13"/>
  <c r="H304" i="13"/>
  <c r="I304" i="13"/>
  <c r="J304" i="13"/>
  <c r="K304" i="13"/>
  <c r="L304" i="13"/>
  <c r="M304" i="13"/>
  <c r="H305" i="13"/>
  <c r="I305" i="13"/>
  <c r="J305" i="13"/>
  <c r="K305" i="13"/>
  <c r="L305" i="13"/>
  <c r="M305" i="13"/>
  <c r="H306" i="13"/>
  <c r="I306" i="13"/>
  <c r="J306" i="13"/>
  <c r="K306" i="13"/>
  <c r="L306" i="13"/>
  <c r="M306" i="13"/>
  <c r="H307" i="13"/>
  <c r="I307" i="13"/>
  <c r="J307" i="13"/>
  <c r="K307" i="13"/>
  <c r="L307" i="13"/>
  <c r="M307" i="13"/>
  <c r="H308" i="13"/>
  <c r="I308" i="13"/>
  <c r="J308" i="13"/>
  <c r="K308" i="13"/>
  <c r="L308" i="13"/>
  <c r="M308" i="13"/>
  <c r="H309" i="13"/>
  <c r="I309" i="13"/>
  <c r="J309" i="13"/>
  <c r="K309" i="13"/>
  <c r="L309" i="13"/>
  <c r="M309" i="13"/>
  <c r="H310" i="13"/>
  <c r="I310" i="13"/>
  <c r="J310" i="13"/>
  <c r="K310" i="13"/>
  <c r="L310" i="13"/>
  <c r="M310" i="13"/>
  <c r="H311" i="13"/>
  <c r="I311" i="13"/>
  <c r="J311" i="13"/>
  <c r="K311" i="13"/>
  <c r="L311" i="13"/>
  <c r="M311" i="13"/>
  <c r="H312" i="13"/>
  <c r="I312" i="13"/>
  <c r="J312" i="13"/>
  <c r="K312" i="13"/>
  <c r="L312" i="13"/>
  <c r="M312" i="13"/>
  <c r="H313" i="13"/>
  <c r="I313" i="13"/>
  <c r="J313" i="13"/>
  <c r="K313" i="13"/>
  <c r="L313" i="13"/>
  <c r="M313" i="13"/>
  <c r="H314" i="13"/>
  <c r="I314" i="13"/>
  <c r="J314" i="13"/>
  <c r="K314" i="13"/>
  <c r="L314" i="13"/>
  <c r="M314" i="13"/>
  <c r="H315" i="13"/>
  <c r="I315" i="13"/>
  <c r="J315" i="13"/>
  <c r="K315" i="13"/>
  <c r="L315" i="13"/>
  <c r="M315" i="13"/>
  <c r="H316" i="13"/>
  <c r="I316" i="13"/>
  <c r="J316" i="13"/>
  <c r="K316" i="13"/>
  <c r="L316" i="13"/>
  <c r="M316" i="13"/>
  <c r="H317" i="13"/>
  <c r="I317" i="13"/>
  <c r="J317" i="13"/>
  <c r="K317" i="13"/>
  <c r="L317" i="13"/>
  <c r="M317" i="13"/>
  <c r="H318" i="13"/>
  <c r="I318" i="13"/>
  <c r="J318" i="13"/>
  <c r="K318" i="13"/>
  <c r="L318" i="13"/>
  <c r="M318" i="13"/>
  <c r="H319" i="13"/>
  <c r="I319" i="13"/>
  <c r="J319" i="13"/>
  <c r="K319" i="13"/>
  <c r="L319" i="13"/>
  <c r="M319" i="13"/>
  <c r="H320" i="13"/>
  <c r="I320" i="13"/>
  <c r="J320" i="13"/>
  <c r="K320" i="13"/>
  <c r="L320" i="13"/>
  <c r="M320" i="13"/>
  <c r="H321" i="13"/>
  <c r="I321" i="13"/>
  <c r="J321" i="13"/>
  <c r="K321" i="13"/>
  <c r="L321" i="13"/>
  <c r="M321" i="13"/>
  <c r="H322" i="13"/>
  <c r="I322" i="13"/>
  <c r="J322" i="13"/>
  <c r="K322" i="13"/>
  <c r="L322" i="13"/>
  <c r="M322" i="13"/>
  <c r="H323" i="13"/>
  <c r="I323" i="13"/>
  <c r="J323" i="13"/>
  <c r="K323" i="13"/>
  <c r="L323" i="13"/>
  <c r="M323" i="13"/>
  <c r="H324" i="13"/>
  <c r="I324" i="13"/>
  <c r="J324" i="13"/>
  <c r="K324" i="13"/>
  <c r="L324" i="13"/>
  <c r="M324" i="13"/>
  <c r="H325" i="13"/>
  <c r="I325" i="13"/>
  <c r="J325" i="13"/>
  <c r="K325" i="13"/>
  <c r="L325" i="13"/>
  <c r="M325" i="13"/>
  <c r="H326" i="13"/>
  <c r="I326" i="13"/>
  <c r="J326" i="13"/>
  <c r="K326" i="13"/>
  <c r="L326" i="13"/>
  <c r="M326" i="13"/>
  <c r="H327" i="13"/>
  <c r="I327" i="13"/>
  <c r="J327" i="13"/>
  <c r="K327" i="13"/>
  <c r="L327" i="13"/>
  <c r="M327" i="13"/>
  <c r="H328" i="13"/>
  <c r="I328" i="13"/>
  <c r="J328" i="13"/>
  <c r="K328" i="13"/>
  <c r="L328" i="13"/>
  <c r="M328" i="13"/>
  <c r="H329" i="13"/>
  <c r="I329" i="13"/>
  <c r="J329" i="13"/>
  <c r="K329" i="13"/>
  <c r="L329" i="13"/>
  <c r="M329" i="13"/>
  <c r="H330" i="13"/>
  <c r="I330" i="13"/>
  <c r="J330" i="13"/>
  <c r="K330" i="13"/>
  <c r="L330" i="13"/>
  <c r="M330" i="13"/>
  <c r="H331" i="13"/>
  <c r="I331" i="13"/>
  <c r="J331" i="13"/>
  <c r="K331" i="13"/>
  <c r="L331" i="13"/>
  <c r="M331" i="13"/>
  <c r="H332" i="13"/>
  <c r="I332" i="13"/>
  <c r="J332" i="13"/>
  <c r="K332" i="13"/>
  <c r="L332" i="13"/>
  <c r="M332" i="13"/>
  <c r="H333" i="13"/>
  <c r="I333" i="13"/>
  <c r="J333" i="13"/>
  <c r="K333" i="13"/>
  <c r="L333" i="13"/>
  <c r="M333" i="13"/>
  <c r="H334" i="13"/>
  <c r="I334" i="13"/>
  <c r="J334" i="13"/>
  <c r="K334" i="13"/>
  <c r="L334" i="13"/>
  <c r="M334" i="13"/>
  <c r="H335" i="13"/>
  <c r="I335" i="13"/>
  <c r="J335" i="13"/>
  <c r="K335" i="13"/>
  <c r="L335" i="13"/>
  <c r="M335" i="13"/>
  <c r="H336" i="13"/>
  <c r="I336" i="13"/>
  <c r="J336" i="13"/>
  <c r="K336" i="13"/>
  <c r="L336" i="13"/>
  <c r="M336" i="13"/>
  <c r="H337" i="13"/>
  <c r="I337" i="13"/>
  <c r="J337" i="13"/>
  <c r="K337" i="13"/>
  <c r="L337" i="13"/>
  <c r="M337" i="13"/>
  <c r="H338" i="13"/>
  <c r="I338" i="13"/>
  <c r="J338" i="13"/>
  <c r="K338" i="13"/>
  <c r="L338" i="13"/>
  <c r="M338" i="13"/>
  <c r="H339" i="13"/>
  <c r="I339" i="13"/>
  <c r="J339" i="13"/>
  <c r="K339" i="13"/>
  <c r="L339" i="13"/>
  <c r="M339" i="13"/>
  <c r="H340" i="13"/>
  <c r="I340" i="13"/>
  <c r="J340" i="13"/>
  <c r="K340" i="13"/>
  <c r="L340" i="13"/>
  <c r="M340" i="13"/>
  <c r="H341" i="13"/>
  <c r="I341" i="13"/>
  <c r="J341" i="13"/>
  <c r="K341" i="13"/>
  <c r="L341" i="13"/>
  <c r="M341" i="13"/>
  <c r="H342" i="13"/>
  <c r="I342" i="13"/>
  <c r="J342" i="13"/>
  <c r="K342" i="13"/>
  <c r="L342" i="13"/>
  <c r="M342" i="13"/>
  <c r="H343" i="13"/>
  <c r="I343" i="13"/>
  <c r="J343" i="13"/>
  <c r="K343" i="13"/>
  <c r="L343" i="13"/>
  <c r="M343" i="13"/>
  <c r="H344" i="13"/>
  <c r="I344" i="13"/>
  <c r="J344" i="13"/>
  <c r="K344" i="13"/>
  <c r="L344" i="13"/>
  <c r="M344" i="13"/>
  <c r="H345" i="13"/>
  <c r="I345" i="13"/>
  <c r="J345" i="13"/>
  <c r="K345" i="13"/>
  <c r="L345" i="13"/>
  <c r="M345" i="13"/>
  <c r="H346" i="13"/>
  <c r="I346" i="13"/>
  <c r="J346" i="13"/>
  <c r="K346" i="13"/>
  <c r="L346" i="13"/>
  <c r="M346" i="13"/>
  <c r="H347" i="13"/>
  <c r="I347" i="13"/>
  <c r="J347" i="13"/>
  <c r="K347" i="13"/>
  <c r="L347" i="13"/>
  <c r="M347" i="13"/>
  <c r="H348" i="13"/>
  <c r="I348" i="13"/>
  <c r="J348" i="13"/>
  <c r="K348" i="13"/>
  <c r="L348" i="13"/>
  <c r="M348" i="13"/>
  <c r="H349" i="13"/>
  <c r="I349" i="13"/>
  <c r="J349" i="13"/>
  <c r="K349" i="13"/>
  <c r="L349" i="13"/>
  <c r="M349" i="13"/>
  <c r="H350" i="13"/>
  <c r="I350" i="13"/>
  <c r="J350" i="13"/>
  <c r="K350" i="13"/>
  <c r="L350" i="13"/>
  <c r="M350" i="13"/>
  <c r="H351" i="13"/>
  <c r="I351" i="13"/>
  <c r="J351" i="13"/>
  <c r="K351" i="13"/>
  <c r="L351" i="13"/>
  <c r="M351" i="13"/>
  <c r="H352" i="13"/>
  <c r="I352" i="13"/>
  <c r="J352" i="13"/>
  <c r="K352" i="13"/>
  <c r="L352" i="13"/>
  <c r="M352" i="13"/>
  <c r="H353" i="13"/>
  <c r="I353" i="13"/>
  <c r="J353" i="13"/>
  <c r="K353" i="13"/>
  <c r="L353" i="13"/>
  <c r="M353" i="13"/>
  <c r="H354" i="13"/>
  <c r="I354" i="13"/>
  <c r="J354" i="13"/>
  <c r="K354" i="13"/>
  <c r="L354" i="13"/>
  <c r="M354" i="13"/>
  <c r="H355" i="13"/>
  <c r="I355" i="13"/>
  <c r="J355" i="13"/>
  <c r="K355" i="13"/>
  <c r="L355" i="13"/>
  <c r="M355" i="13"/>
  <c r="H356" i="13"/>
  <c r="I356" i="13"/>
  <c r="J356" i="13"/>
  <c r="K356" i="13"/>
  <c r="L356" i="13"/>
  <c r="M356" i="13"/>
  <c r="H357" i="13"/>
  <c r="I357" i="13"/>
  <c r="J357" i="13"/>
  <c r="K357" i="13"/>
  <c r="L357" i="13"/>
  <c r="M357" i="13"/>
  <c r="H358" i="13"/>
  <c r="I358" i="13"/>
  <c r="J358" i="13"/>
  <c r="K358" i="13"/>
  <c r="L358" i="13"/>
  <c r="M358" i="13"/>
  <c r="H359" i="13"/>
  <c r="I359" i="13"/>
  <c r="J359" i="13"/>
  <c r="K359" i="13"/>
  <c r="L359" i="13"/>
  <c r="M359" i="13"/>
  <c r="H360" i="13"/>
  <c r="I360" i="13"/>
  <c r="J360" i="13"/>
  <c r="K360" i="13"/>
  <c r="L360" i="13"/>
  <c r="M360" i="13"/>
  <c r="H361" i="13"/>
  <c r="I361" i="13"/>
  <c r="J361" i="13"/>
  <c r="K361" i="13"/>
  <c r="L361" i="13"/>
  <c r="M361" i="13"/>
  <c r="H362" i="13"/>
  <c r="I362" i="13"/>
  <c r="J362" i="13"/>
  <c r="K362" i="13"/>
  <c r="L362" i="13"/>
  <c r="M362" i="13"/>
  <c r="H363" i="13"/>
  <c r="I363" i="13"/>
  <c r="J363" i="13"/>
  <c r="K363" i="13"/>
  <c r="L363" i="13"/>
  <c r="M363" i="13"/>
  <c r="H364" i="13"/>
  <c r="I364" i="13"/>
  <c r="J364" i="13"/>
  <c r="K364" i="13"/>
  <c r="L364" i="13"/>
  <c r="M364" i="13"/>
  <c r="H365" i="13"/>
  <c r="I365" i="13"/>
  <c r="J365" i="13"/>
  <c r="K365" i="13"/>
  <c r="L365" i="13"/>
  <c r="M365" i="13"/>
  <c r="H366" i="13"/>
  <c r="I366" i="13"/>
  <c r="J366" i="13"/>
  <c r="K366" i="13"/>
  <c r="L366" i="13"/>
  <c r="M366" i="13"/>
  <c r="H367" i="13"/>
  <c r="I367" i="13"/>
  <c r="J367" i="13"/>
  <c r="K367" i="13"/>
  <c r="L367" i="13"/>
  <c r="M367" i="13"/>
  <c r="H368" i="13"/>
  <c r="I368" i="13"/>
  <c r="J368" i="13"/>
  <c r="K368" i="13"/>
  <c r="L368" i="13"/>
  <c r="M368" i="13"/>
  <c r="H369" i="13"/>
  <c r="I369" i="13"/>
  <c r="J369" i="13"/>
  <c r="K369" i="13"/>
  <c r="L369" i="13"/>
  <c r="M369" i="13"/>
  <c r="H370" i="13"/>
  <c r="I370" i="13"/>
  <c r="J370" i="13"/>
  <c r="K370" i="13"/>
  <c r="L370" i="13"/>
  <c r="M370" i="13"/>
  <c r="H371" i="13"/>
  <c r="I371" i="13"/>
  <c r="J371" i="13"/>
  <c r="K371" i="13"/>
  <c r="L371" i="13"/>
  <c r="M371" i="13"/>
  <c r="H372" i="13"/>
  <c r="I372" i="13"/>
  <c r="J372" i="13"/>
  <c r="K372" i="13"/>
  <c r="L372" i="13"/>
  <c r="M372" i="13"/>
  <c r="H373" i="13"/>
  <c r="I373" i="13"/>
  <c r="J373" i="13"/>
  <c r="K373" i="13"/>
  <c r="L373" i="13"/>
  <c r="M373" i="13"/>
  <c r="H374" i="13"/>
  <c r="I374" i="13"/>
  <c r="J374" i="13"/>
  <c r="K374" i="13"/>
  <c r="L374" i="13"/>
  <c r="M374" i="13"/>
  <c r="H375" i="13"/>
  <c r="I375" i="13"/>
  <c r="J375" i="13"/>
  <c r="K375" i="13"/>
  <c r="L375" i="13"/>
  <c r="M375" i="13"/>
  <c r="H376" i="13"/>
  <c r="I376" i="13"/>
  <c r="J376" i="13"/>
  <c r="K376" i="13"/>
  <c r="L376" i="13"/>
  <c r="M376" i="13"/>
  <c r="H377" i="13"/>
  <c r="I377" i="13"/>
  <c r="J377" i="13"/>
  <c r="K377" i="13"/>
  <c r="L377" i="13"/>
  <c r="M377" i="13"/>
  <c r="H378" i="13"/>
  <c r="I378" i="13"/>
  <c r="J378" i="13"/>
  <c r="K378" i="13"/>
  <c r="L378" i="13"/>
  <c r="M378" i="13"/>
  <c r="H379" i="13"/>
  <c r="I379" i="13"/>
  <c r="J379" i="13"/>
  <c r="K379" i="13"/>
  <c r="L379" i="13"/>
  <c r="M379" i="13"/>
  <c r="H380" i="13"/>
  <c r="I380" i="13"/>
  <c r="J380" i="13"/>
  <c r="K380" i="13"/>
  <c r="L380" i="13"/>
  <c r="M380" i="13"/>
  <c r="H381" i="13"/>
  <c r="I381" i="13"/>
  <c r="J381" i="13"/>
  <c r="K381" i="13"/>
  <c r="L381" i="13"/>
  <c r="M381" i="13"/>
  <c r="H382" i="13"/>
  <c r="I382" i="13"/>
  <c r="J382" i="13"/>
  <c r="K382" i="13"/>
  <c r="L382" i="13"/>
  <c r="M382" i="13"/>
  <c r="H383" i="13"/>
  <c r="I383" i="13"/>
  <c r="J383" i="13"/>
  <c r="K383" i="13"/>
  <c r="L383" i="13"/>
  <c r="M383" i="13"/>
  <c r="H384" i="13"/>
  <c r="I384" i="13"/>
  <c r="J384" i="13"/>
  <c r="K384" i="13"/>
  <c r="L384" i="13"/>
  <c r="M384" i="13"/>
  <c r="H385" i="13"/>
  <c r="I385" i="13"/>
  <c r="J385" i="13"/>
  <c r="K385" i="13"/>
  <c r="L385" i="13"/>
  <c r="M385" i="13"/>
  <c r="H386" i="13"/>
  <c r="I386" i="13"/>
  <c r="J386" i="13"/>
  <c r="K386" i="13"/>
  <c r="L386" i="13"/>
  <c r="M386" i="13"/>
  <c r="H387" i="13"/>
  <c r="I387" i="13"/>
  <c r="J387" i="13"/>
  <c r="K387" i="13"/>
  <c r="L387" i="13"/>
  <c r="M387" i="13"/>
  <c r="H388" i="13"/>
  <c r="I388" i="13"/>
  <c r="J388" i="13"/>
  <c r="K388" i="13"/>
  <c r="L388" i="13"/>
  <c r="M388" i="13"/>
  <c r="H389" i="13"/>
  <c r="I389" i="13"/>
  <c r="J389" i="13"/>
  <c r="K389" i="13"/>
  <c r="L389" i="13"/>
  <c r="M389" i="13"/>
  <c r="H390" i="13"/>
  <c r="I390" i="13"/>
  <c r="J390" i="13"/>
  <c r="K390" i="13"/>
  <c r="L390" i="13"/>
  <c r="M390" i="13"/>
  <c r="H391" i="13"/>
  <c r="I391" i="13"/>
  <c r="J391" i="13"/>
  <c r="K391" i="13"/>
  <c r="L391" i="13"/>
  <c r="M391" i="13"/>
  <c r="H392" i="13"/>
  <c r="I392" i="13"/>
  <c r="J392" i="13"/>
  <c r="K392" i="13"/>
  <c r="L392" i="13"/>
  <c r="M392" i="13"/>
  <c r="H393" i="13"/>
  <c r="I393" i="13"/>
  <c r="J393" i="13"/>
  <c r="K393" i="13"/>
  <c r="L393" i="13"/>
  <c r="M393" i="13"/>
  <c r="H394" i="13"/>
  <c r="I394" i="13"/>
  <c r="J394" i="13"/>
  <c r="K394" i="13"/>
  <c r="L394" i="13"/>
  <c r="M394" i="13"/>
  <c r="H395" i="13"/>
  <c r="I395" i="13"/>
  <c r="J395" i="13"/>
  <c r="K395" i="13"/>
  <c r="L395" i="13"/>
  <c r="M395" i="13"/>
  <c r="H396" i="13"/>
  <c r="I396" i="13"/>
  <c r="J396" i="13"/>
  <c r="K396" i="13"/>
  <c r="L396" i="13"/>
  <c r="M396" i="13"/>
  <c r="H397" i="13"/>
  <c r="I397" i="13"/>
  <c r="J397" i="13"/>
  <c r="K397" i="13"/>
  <c r="L397" i="13"/>
  <c r="M397" i="13"/>
  <c r="H398" i="13"/>
  <c r="I398" i="13"/>
  <c r="J398" i="13"/>
  <c r="K398" i="13"/>
  <c r="L398" i="13"/>
  <c r="M398" i="13"/>
  <c r="H399" i="13"/>
  <c r="I399" i="13"/>
  <c r="J399" i="13"/>
  <c r="K399" i="13"/>
  <c r="L399" i="13"/>
  <c r="M399" i="13"/>
  <c r="H400" i="13"/>
  <c r="I400" i="13"/>
  <c r="J400" i="13"/>
  <c r="K400" i="13"/>
  <c r="L400" i="13"/>
  <c r="M400" i="13"/>
  <c r="H401" i="13"/>
  <c r="I401" i="13"/>
  <c r="J401" i="13"/>
  <c r="K401" i="13"/>
  <c r="L401" i="13"/>
  <c r="M401" i="13"/>
  <c r="H402" i="13"/>
  <c r="I402" i="13"/>
  <c r="J402" i="13"/>
  <c r="K402" i="13"/>
  <c r="L402" i="13"/>
  <c r="M402" i="13"/>
  <c r="H403" i="13"/>
  <c r="I403" i="13"/>
  <c r="J403" i="13"/>
  <c r="K403" i="13"/>
  <c r="L403" i="13"/>
  <c r="M403" i="13"/>
  <c r="H404" i="13"/>
  <c r="I404" i="13"/>
  <c r="J404" i="13"/>
  <c r="K404" i="13"/>
  <c r="L404" i="13"/>
  <c r="M404" i="13"/>
  <c r="H405" i="13"/>
  <c r="I405" i="13"/>
  <c r="J405" i="13"/>
  <c r="K405" i="13"/>
  <c r="L405" i="13"/>
  <c r="M405" i="13"/>
  <c r="H406" i="13"/>
  <c r="I406" i="13"/>
  <c r="J406" i="13"/>
  <c r="K406" i="13"/>
  <c r="L406" i="13"/>
  <c r="M406" i="13"/>
  <c r="H407" i="13"/>
  <c r="I407" i="13"/>
  <c r="J407" i="13"/>
  <c r="K407" i="13"/>
  <c r="L407" i="13"/>
  <c r="M407" i="13"/>
  <c r="H408" i="13"/>
  <c r="I408" i="13"/>
  <c r="J408" i="13"/>
  <c r="K408" i="13"/>
  <c r="L408" i="13"/>
  <c r="M408" i="13"/>
  <c r="H409" i="13"/>
  <c r="I409" i="13"/>
  <c r="J409" i="13"/>
  <c r="K409" i="13"/>
  <c r="L409" i="13"/>
  <c r="M409" i="13"/>
  <c r="H410" i="13"/>
  <c r="I410" i="13"/>
  <c r="J410" i="13"/>
  <c r="K410" i="13"/>
  <c r="L410" i="13"/>
  <c r="M410" i="13"/>
  <c r="H411" i="13"/>
  <c r="I411" i="13"/>
  <c r="J411" i="13"/>
  <c r="K411" i="13"/>
  <c r="L411" i="13"/>
  <c r="M411" i="13"/>
  <c r="H412" i="13"/>
  <c r="I412" i="13"/>
  <c r="J412" i="13"/>
  <c r="K412" i="13"/>
  <c r="L412" i="13"/>
  <c r="M412" i="13"/>
  <c r="H413" i="13"/>
  <c r="I413" i="13"/>
  <c r="J413" i="13"/>
  <c r="K413" i="13"/>
  <c r="L413" i="13"/>
  <c r="M413" i="13"/>
  <c r="H414" i="13"/>
  <c r="I414" i="13"/>
  <c r="J414" i="13"/>
  <c r="K414" i="13"/>
  <c r="L414" i="13"/>
  <c r="M414" i="13"/>
  <c r="H415" i="13"/>
  <c r="I415" i="13"/>
  <c r="J415" i="13"/>
  <c r="K415" i="13"/>
  <c r="L415" i="13"/>
  <c r="M415" i="13"/>
  <c r="H416" i="13"/>
  <c r="I416" i="13"/>
  <c r="J416" i="13"/>
  <c r="K416" i="13"/>
  <c r="L416" i="13"/>
  <c r="M416" i="13"/>
  <c r="H417" i="13"/>
  <c r="I417" i="13"/>
  <c r="J417" i="13"/>
  <c r="K417" i="13"/>
  <c r="L417" i="13"/>
  <c r="M417" i="13"/>
  <c r="H418" i="13"/>
  <c r="I418" i="13"/>
  <c r="J418" i="13"/>
  <c r="K418" i="13"/>
  <c r="L418" i="13"/>
  <c r="M418" i="13"/>
  <c r="H419" i="13"/>
  <c r="I419" i="13"/>
  <c r="J419" i="13"/>
  <c r="K419" i="13"/>
  <c r="L419" i="13"/>
  <c r="M419" i="13"/>
  <c r="H420" i="13"/>
  <c r="I420" i="13"/>
  <c r="J420" i="13"/>
  <c r="K420" i="13"/>
  <c r="L420" i="13"/>
  <c r="M420" i="13"/>
  <c r="H421" i="13"/>
  <c r="I421" i="13"/>
  <c r="J421" i="13"/>
  <c r="K421" i="13"/>
  <c r="L421" i="13"/>
  <c r="M421" i="13"/>
  <c r="H422" i="13"/>
  <c r="I422" i="13"/>
  <c r="J422" i="13"/>
  <c r="K422" i="13"/>
  <c r="L422" i="13"/>
  <c r="M422" i="13"/>
  <c r="H423" i="13"/>
  <c r="I423" i="13"/>
  <c r="J423" i="13"/>
  <c r="K423" i="13"/>
  <c r="L423" i="13"/>
  <c r="M423" i="13"/>
  <c r="H424" i="13"/>
  <c r="I424" i="13"/>
  <c r="J424" i="13"/>
  <c r="K424" i="13"/>
  <c r="L424" i="13"/>
  <c r="M424" i="13"/>
  <c r="H425" i="13"/>
  <c r="I425" i="13"/>
  <c r="J425" i="13"/>
  <c r="K425" i="13"/>
  <c r="L425" i="13"/>
  <c r="M425" i="13"/>
  <c r="H426" i="13"/>
  <c r="I426" i="13"/>
  <c r="J426" i="13"/>
  <c r="K426" i="13"/>
  <c r="L426" i="13"/>
  <c r="M426" i="13"/>
  <c r="H427" i="13"/>
  <c r="I427" i="13"/>
  <c r="J427" i="13"/>
  <c r="K427" i="13"/>
  <c r="L427" i="13"/>
  <c r="M427" i="13"/>
  <c r="H428" i="13"/>
  <c r="I428" i="13"/>
  <c r="J428" i="13"/>
  <c r="K428" i="13"/>
  <c r="L428" i="13"/>
  <c r="M428" i="13"/>
  <c r="H429" i="13"/>
  <c r="I429" i="13"/>
  <c r="J429" i="13"/>
  <c r="K429" i="13"/>
  <c r="L429" i="13"/>
  <c r="M429" i="13"/>
  <c r="H430" i="13"/>
  <c r="I430" i="13"/>
  <c r="J430" i="13"/>
  <c r="K430" i="13"/>
  <c r="L430" i="13"/>
  <c r="M430" i="13"/>
  <c r="H431" i="13"/>
  <c r="I431" i="13"/>
  <c r="J431" i="13"/>
  <c r="K431" i="13"/>
  <c r="L431" i="13"/>
  <c r="M431" i="13"/>
  <c r="H432" i="13"/>
  <c r="I432" i="13"/>
  <c r="J432" i="13"/>
  <c r="K432" i="13"/>
  <c r="L432" i="13"/>
  <c r="M432" i="13"/>
  <c r="H433" i="13"/>
  <c r="I433" i="13"/>
  <c r="J433" i="13"/>
  <c r="K433" i="13"/>
  <c r="L433" i="13"/>
  <c r="M433" i="13"/>
  <c r="H434" i="13"/>
  <c r="I434" i="13"/>
  <c r="J434" i="13"/>
  <c r="K434" i="13"/>
  <c r="L434" i="13"/>
  <c r="M434" i="13"/>
  <c r="H435" i="13"/>
  <c r="I435" i="13"/>
  <c r="J435" i="13"/>
  <c r="K435" i="13"/>
  <c r="L435" i="13"/>
  <c r="M435" i="13"/>
  <c r="H436" i="13"/>
  <c r="I436" i="13"/>
  <c r="J436" i="13"/>
  <c r="K436" i="13"/>
  <c r="L436" i="13"/>
  <c r="M436" i="13"/>
  <c r="H437" i="13"/>
  <c r="I437" i="13"/>
  <c r="J437" i="13"/>
  <c r="K437" i="13"/>
  <c r="L437" i="13"/>
  <c r="M437" i="13"/>
  <c r="H438" i="13"/>
  <c r="I438" i="13"/>
  <c r="J438" i="13"/>
  <c r="K438" i="13"/>
  <c r="L438" i="13"/>
  <c r="M438" i="13"/>
  <c r="H439" i="13"/>
  <c r="I439" i="13"/>
  <c r="J439" i="13"/>
  <c r="K439" i="13"/>
  <c r="L439" i="13"/>
  <c r="M439" i="13"/>
  <c r="H440" i="13"/>
  <c r="I440" i="13"/>
  <c r="J440" i="13"/>
  <c r="K440" i="13"/>
  <c r="L440" i="13"/>
  <c r="M440" i="13"/>
  <c r="H441" i="13"/>
  <c r="I441" i="13"/>
  <c r="J441" i="13"/>
  <c r="K441" i="13"/>
  <c r="L441" i="13"/>
  <c r="M441" i="13"/>
  <c r="H442" i="13"/>
  <c r="I442" i="13"/>
  <c r="J442" i="13"/>
  <c r="K442" i="13"/>
  <c r="L442" i="13"/>
  <c r="M442" i="13"/>
  <c r="H443" i="13"/>
  <c r="I443" i="13"/>
  <c r="J443" i="13"/>
  <c r="K443" i="13"/>
  <c r="L443" i="13"/>
  <c r="M443" i="13"/>
  <c r="H444" i="13"/>
  <c r="I444" i="13"/>
  <c r="J444" i="13"/>
  <c r="K444" i="13"/>
  <c r="L444" i="13"/>
  <c r="M444" i="13"/>
  <c r="H445" i="13"/>
  <c r="I445" i="13"/>
  <c r="J445" i="13"/>
  <c r="K445" i="13"/>
  <c r="L445" i="13"/>
  <c r="M445" i="13"/>
  <c r="H446" i="13"/>
  <c r="I446" i="13"/>
  <c r="J446" i="13"/>
  <c r="K446" i="13"/>
  <c r="L446" i="13"/>
  <c r="M446" i="13"/>
  <c r="H447" i="13"/>
  <c r="I447" i="13"/>
  <c r="J447" i="13"/>
  <c r="K447" i="13"/>
  <c r="L447" i="13"/>
  <c r="M447" i="13"/>
  <c r="H448" i="13"/>
  <c r="I448" i="13"/>
  <c r="J448" i="13"/>
  <c r="K448" i="13"/>
  <c r="L448" i="13"/>
  <c r="M448" i="13"/>
  <c r="H449" i="13"/>
  <c r="I449" i="13"/>
  <c r="J449" i="13"/>
  <c r="K449" i="13"/>
  <c r="L449" i="13"/>
  <c r="M449" i="13"/>
  <c r="H450" i="13"/>
  <c r="I450" i="13"/>
  <c r="J450" i="13"/>
  <c r="K450" i="13"/>
  <c r="L450" i="13"/>
  <c r="M450" i="13"/>
  <c r="H451" i="13"/>
  <c r="I451" i="13"/>
  <c r="J451" i="13"/>
  <c r="K451" i="13"/>
  <c r="L451" i="13"/>
  <c r="M451" i="13"/>
  <c r="H452" i="13"/>
  <c r="I452" i="13"/>
  <c r="J452" i="13"/>
  <c r="K452" i="13"/>
  <c r="L452" i="13"/>
  <c r="M452" i="13"/>
  <c r="H453" i="13"/>
  <c r="I453" i="13"/>
  <c r="J453" i="13"/>
  <c r="K453" i="13"/>
  <c r="L453" i="13"/>
  <c r="M453" i="13"/>
  <c r="H454" i="13"/>
  <c r="I454" i="13"/>
  <c r="J454" i="13"/>
  <c r="K454" i="13"/>
  <c r="L454" i="13"/>
  <c r="M454" i="13"/>
  <c r="H455" i="13"/>
  <c r="I455" i="13"/>
  <c r="J455" i="13"/>
  <c r="K455" i="13"/>
  <c r="L455" i="13"/>
  <c r="M455" i="13"/>
  <c r="H456" i="13"/>
  <c r="I456" i="13"/>
  <c r="J456" i="13"/>
  <c r="K456" i="13"/>
  <c r="L456" i="13"/>
  <c r="M456" i="13"/>
  <c r="H457" i="13"/>
  <c r="I457" i="13"/>
  <c r="J457" i="13"/>
  <c r="K457" i="13"/>
  <c r="L457" i="13"/>
  <c r="M457" i="13"/>
  <c r="H458" i="13"/>
  <c r="I458" i="13"/>
  <c r="J458" i="13"/>
  <c r="K458" i="13"/>
  <c r="L458" i="13"/>
  <c r="M458" i="13"/>
  <c r="H459" i="13"/>
  <c r="I459" i="13"/>
  <c r="J459" i="13"/>
  <c r="K459" i="13"/>
  <c r="L459" i="13"/>
  <c r="M459" i="13"/>
  <c r="H460" i="13"/>
  <c r="I460" i="13"/>
  <c r="J460" i="13"/>
  <c r="K460" i="13"/>
  <c r="L460" i="13"/>
  <c r="M460" i="13"/>
  <c r="H461" i="13"/>
  <c r="I461" i="13"/>
  <c r="J461" i="13"/>
  <c r="K461" i="13"/>
  <c r="L461" i="13"/>
  <c r="M461" i="13"/>
  <c r="H462" i="13"/>
  <c r="I462" i="13"/>
  <c r="J462" i="13"/>
  <c r="K462" i="13"/>
  <c r="L462" i="13"/>
  <c r="M462" i="13"/>
  <c r="H463" i="13"/>
  <c r="I463" i="13"/>
  <c r="J463" i="13"/>
  <c r="K463" i="13"/>
  <c r="L463" i="13"/>
  <c r="M463" i="13"/>
  <c r="H464" i="13"/>
  <c r="I464" i="13"/>
  <c r="J464" i="13"/>
  <c r="K464" i="13"/>
  <c r="L464" i="13"/>
  <c r="M464" i="13"/>
  <c r="H465" i="13"/>
  <c r="I465" i="13"/>
  <c r="J465" i="13"/>
  <c r="K465" i="13"/>
  <c r="L465" i="13"/>
  <c r="M465" i="13"/>
  <c r="H466" i="13"/>
  <c r="I466" i="13"/>
  <c r="J466" i="13"/>
  <c r="K466" i="13"/>
  <c r="L466" i="13"/>
  <c r="M466" i="13"/>
  <c r="H467" i="13"/>
  <c r="I467" i="13"/>
  <c r="J467" i="13"/>
  <c r="K467" i="13"/>
  <c r="L467" i="13"/>
  <c r="M467" i="13"/>
  <c r="H468" i="13"/>
  <c r="I468" i="13"/>
  <c r="J468" i="13"/>
  <c r="K468" i="13"/>
  <c r="L468" i="13"/>
  <c r="M468" i="13"/>
  <c r="H469" i="13"/>
  <c r="I469" i="13"/>
  <c r="J469" i="13"/>
  <c r="K469" i="13"/>
  <c r="L469" i="13"/>
  <c r="M469" i="13"/>
  <c r="H470" i="13"/>
  <c r="I470" i="13"/>
  <c r="J470" i="13"/>
  <c r="K470" i="13"/>
  <c r="L470" i="13"/>
  <c r="M470" i="13"/>
  <c r="H471" i="13"/>
  <c r="I471" i="13"/>
  <c r="J471" i="13"/>
  <c r="K471" i="13"/>
  <c r="L471" i="13"/>
  <c r="M471" i="13"/>
  <c r="H472" i="13"/>
  <c r="I472" i="13"/>
  <c r="J472" i="13"/>
  <c r="K472" i="13"/>
  <c r="L472" i="13"/>
  <c r="M472" i="13"/>
  <c r="H473" i="13"/>
  <c r="I473" i="13"/>
  <c r="J473" i="13"/>
  <c r="K473" i="13"/>
  <c r="L473" i="13"/>
  <c r="M473" i="13"/>
  <c r="H474" i="13"/>
  <c r="I474" i="13"/>
  <c r="J474" i="13"/>
  <c r="K474" i="13"/>
  <c r="L474" i="13"/>
  <c r="M474" i="13"/>
  <c r="H475" i="13"/>
  <c r="I475" i="13"/>
  <c r="J475" i="13"/>
  <c r="K475" i="13"/>
  <c r="L475" i="13"/>
  <c r="M475" i="13"/>
  <c r="H476" i="13"/>
  <c r="I476" i="13"/>
  <c r="J476" i="13"/>
  <c r="K476" i="13"/>
  <c r="L476" i="13"/>
  <c r="M476" i="13"/>
  <c r="H477" i="13"/>
  <c r="I477" i="13"/>
  <c r="J477" i="13"/>
  <c r="K477" i="13"/>
  <c r="L477" i="13"/>
  <c r="M477" i="13"/>
  <c r="H478" i="13"/>
  <c r="I478" i="13"/>
  <c r="J478" i="13"/>
  <c r="K478" i="13"/>
  <c r="L478" i="13"/>
  <c r="M478" i="13"/>
  <c r="H479" i="13"/>
  <c r="I479" i="13"/>
  <c r="J479" i="13"/>
  <c r="K479" i="13"/>
  <c r="L479" i="13"/>
  <c r="M479" i="13"/>
  <c r="H480" i="13"/>
  <c r="I480" i="13"/>
  <c r="J480" i="13"/>
  <c r="K480" i="13"/>
  <c r="L480" i="13"/>
  <c r="M480" i="13"/>
  <c r="H481" i="13"/>
  <c r="I481" i="13"/>
  <c r="J481" i="13"/>
  <c r="K481" i="13"/>
  <c r="L481" i="13"/>
  <c r="M481" i="13"/>
  <c r="H482" i="13"/>
  <c r="I482" i="13"/>
  <c r="J482" i="13"/>
  <c r="K482" i="13"/>
  <c r="L482" i="13"/>
  <c r="M482" i="13"/>
  <c r="H483" i="13"/>
  <c r="I483" i="13"/>
  <c r="J483" i="13"/>
  <c r="K483" i="13"/>
  <c r="L483" i="13"/>
  <c r="M483" i="13"/>
  <c r="H484" i="13"/>
  <c r="I484" i="13"/>
  <c r="J484" i="13"/>
  <c r="K484" i="13"/>
  <c r="L484" i="13"/>
  <c r="M484" i="13"/>
  <c r="H485" i="13"/>
  <c r="I485" i="13"/>
  <c r="J485" i="13"/>
  <c r="K485" i="13"/>
  <c r="L485" i="13"/>
  <c r="M485" i="13"/>
  <c r="H486" i="13"/>
  <c r="I486" i="13"/>
  <c r="J486" i="13"/>
  <c r="K486" i="13"/>
  <c r="L486" i="13"/>
  <c r="M486" i="13"/>
  <c r="H487" i="13"/>
  <c r="I487" i="13"/>
  <c r="J487" i="13"/>
  <c r="K487" i="13"/>
  <c r="L487" i="13"/>
  <c r="M487" i="13"/>
  <c r="H488" i="13"/>
  <c r="I488" i="13"/>
  <c r="J488" i="13"/>
  <c r="K488" i="13"/>
  <c r="L488" i="13"/>
  <c r="M488" i="13"/>
  <c r="H489" i="13"/>
  <c r="I489" i="13"/>
  <c r="J489" i="13"/>
  <c r="K489" i="13"/>
  <c r="L489" i="13"/>
  <c r="M489" i="13"/>
  <c r="H490" i="13"/>
  <c r="I490" i="13"/>
  <c r="J490" i="13"/>
  <c r="K490" i="13"/>
  <c r="L490" i="13"/>
  <c r="M490" i="13"/>
  <c r="H491" i="13"/>
  <c r="I491" i="13"/>
  <c r="J491" i="13"/>
  <c r="K491" i="13"/>
  <c r="L491" i="13"/>
  <c r="M491" i="13"/>
  <c r="H492" i="13"/>
  <c r="I492" i="13"/>
  <c r="J492" i="13"/>
  <c r="K492" i="13"/>
  <c r="L492" i="13"/>
  <c r="M492" i="13"/>
  <c r="H493" i="13"/>
  <c r="I493" i="13"/>
  <c r="J493" i="13"/>
  <c r="K493" i="13"/>
  <c r="L493" i="13"/>
  <c r="M493" i="13"/>
  <c r="H494" i="13"/>
  <c r="I494" i="13"/>
  <c r="J494" i="13"/>
  <c r="K494" i="13"/>
  <c r="L494" i="13"/>
  <c r="M494" i="13"/>
  <c r="H495" i="13"/>
  <c r="I495" i="13"/>
  <c r="J495" i="13"/>
  <c r="K495" i="13"/>
  <c r="L495" i="13"/>
  <c r="M495" i="13"/>
  <c r="H496" i="13"/>
  <c r="I496" i="13"/>
  <c r="J496" i="13"/>
  <c r="K496" i="13"/>
  <c r="L496" i="13"/>
  <c r="M496" i="13"/>
  <c r="H497" i="13"/>
  <c r="I497" i="13"/>
  <c r="J497" i="13"/>
  <c r="K497" i="13"/>
  <c r="L497" i="13"/>
  <c r="M497" i="13"/>
  <c r="H498" i="13"/>
  <c r="I498" i="13"/>
  <c r="J498" i="13"/>
  <c r="K498" i="13"/>
  <c r="L498" i="13"/>
  <c r="M498" i="13"/>
  <c r="H499" i="13"/>
  <c r="I499" i="13"/>
  <c r="J499" i="13"/>
  <c r="K499" i="13"/>
  <c r="L499" i="13"/>
  <c r="M499" i="13"/>
  <c r="H500" i="13"/>
  <c r="I500" i="13"/>
  <c r="J500" i="13"/>
  <c r="K500" i="13"/>
  <c r="L500" i="13"/>
  <c r="M500" i="13"/>
  <c r="H501" i="13"/>
  <c r="I501" i="13"/>
  <c r="J501" i="13"/>
  <c r="K501" i="13"/>
  <c r="L501" i="13"/>
  <c r="M501" i="13"/>
  <c r="H502" i="13"/>
  <c r="I502" i="13"/>
  <c r="J502" i="13"/>
  <c r="K502" i="13"/>
  <c r="L502" i="13"/>
  <c r="M502" i="13"/>
  <c r="H503" i="13"/>
  <c r="I503" i="13"/>
  <c r="J503" i="13"/>
  <c r="K503" i="13"/>
  <c r="L503" i="13"/>
  <c r="M503" i="13"/>
  <c r="H504" i="13"/>
  <c r="I504" i="13"/>
  <c r="J504" i="13"/>
  <c r="K504" i="13"/>
  <c r="L504" i="13"/>
  <c r="M504" i="13"/>
  <c r="H505" i="13"/>
  <c r="I505" i="13"/>
  <c r="J505" i="13"/>
  <c r="K505" i="13"/>
  <c r="L505" i="13"/>
  <c r="M505" i="13"/>
  <c r="H506" i="13"/>
  <c r="I506" i="13"/>
  <c r="J506" i="13"/>
  <c r="K506" i="13"/>
  <c r="L506" i="13"/>
  <c r="M506" i="13"/>
  <c r="H507" i="13"/>
  <c r="I507" i="13"/>
  <c r="J507" i="13"/>
  <c r="K507" i="13"/>
  <c r="L507" i="13"/>
  <c r="M507" i="13"/>
  <c r="H508" i="13"/>
  <c r="I508" i="13"/>
  <c r="J508" i="13"/>
  <c r="K508" i="13"/>
  <c r="L508" i="13"/>
  <c r="M508" i="13"/>
  <c r="H509" i="13"/>
  <c r="I509" i="13"/>
  <c r="J509" i="13"/>
  <c r="K509" i="13"/>
  <c r="L509" i="13"/>
  <c r="M509" i="13"/>
  <c r="H510" i="13"/>
  <c r="I510" i="13"/>
  <c r="J510" i="13"/>
  <c r="K510" i="13"/>
  <c r="L510" i="13"/>
  <c r="M510" i="13"/>
  <c r="H511" i="13"/>
  <c r="I511" i="13"/>
  <c r="J511" i="13"/>
  <c r="K511" i="13"/>
  <c r="L511" i="13"/>
  <c r="M511" i="13"/>
  <c r="H512" i="13"/>
  <c r="I512" i="13"/>
  <c r="J512" i="13"/>
  <c r="K512" i="13"/>
  <c r="L512" i="13"/>
  <c r="M512" i="13"/>
  <c r="H513" i="13"/>
  <c r="I513" i="13"/>
  <c r="J513" i="13"/>
  <c r="K513" i="13"/>
  <c r="L513" i="13"/>
  <c r="M513" i="13"/>
  <c r="H514" i="13"/>
  <c r="I514" i="13"/>
  <c r="J514" i="13"/>
  <c r="K514" i="13"/>
  <c r="L514" i="13"/>
  <c r="M514" i="13"/>
  <c r="H515" i="13"/>
  <c r="I515" i="13"/>
  <c r="J515" i="13"/>
  <c r="K515" i="13"/>
  <c r="L515" i="13"/>
  <c r="M515" i="13"/>
  <c r="H516" i="13"/>
  <c r="I516" i="13"/>
  <c r="J516" i="13"/>
  <c r="K516" i="13"/>
  <c r="L516" i="13"/>
  <c r="M516" i="13"/>
  <c r="H517" i="13"/>
  <c r="I517" i="13"/>
  <c r="J517" i="13"/>
  <c r="K517" i="13"/>
  <c r="L517" i="13"/>
  <c r="M517" i="13"/>
  <c r="H518" i="13"/>
  <c r="I518" i="13"/>
  <c r="J518" i="13"/>
  <c r="K518" i="13"/>
  <c r="L518" i="13"/>
  <c r="M518" i="13"/>
  <c r="H519" i="13"/>
  <c r="I519" i="13"/>
  <c r="J519" i="13"/>
  <c r="K519" i="13"/>
  <c r="L519" i="13"/>
  <c r="M519" i="13"/>
  <c r="H520" i="13"/>
  <c r="I520" i="13"/>
  <c r="J520" i="13"/>
  <c r="K520" i="13"/>
  <c r="L520" i="13"/>
  <c r="M520" i="13"/>
  <c r="H521" i="13"/>
  <c r="I521" i="13"/>
  <c r="J521" i="13"/>
  <c r="K521" i="13"/>
  <c r="L521" i="13"/>
  <c r="M521" i="13"/>
  <c r="H522" i="13"/>
  <c r="I522" i="13"/>
  <c r="J522" i="13"/>
  <c r="K522" i="13"/>
  <c r="L522" i="13"/>
  <c r="M522" i="13"/>
  <c r="H523" i="13"/>
  <c r="I523" i="13"/>
  <c r="J523" i="13"/>
  <c r="K523" i="13"/>
  <c r="L523" i="13"/>
  <c r="M523" i="13"/>
  <c r="H524" i="13"/>
  <c r="I524" i="13"/>
  <c r="J524" i="13"/>
  <c r="K524" i="13"/>
  <c r="L524" i="13"/>
  <c r="M524" i="13"/>
  <c r="H25" i="13"/>
  <c r="I25" i="13"/>
  <c r="J25" i="13"/>
  <c r="K25" i="13"/>
  <c r="L25" i="13"/>
  <c r="M25" i="13"/>
  <c r="C17" i="15"/>
  <c r="B17" i="15"/>
  <c r="C13" i="15"/>
  <c r="C12" i="15"/>
  <c r="B13" i="15"/>
  <c r="C6" i="15"/>
  <c r="B6" i="15"/>
  <c r="C8" i="14"/>
  <c r="C7" i="14"/>
  <c r="C6" i="14"/>
  <c r="B8" i="14"/>
  <c r="B6" i="14"/>
  <c r="B7" i="14"/>
  <c r="C50" i="7"/>
  <c r="C49" i="7"/>
  <c r="C48" i="7"/>
  <c r="C47" i="7"/>
  <c r="C44" i="7"/>
  <c r="B50" i="7"/>
  <c r="B49" i="7"/>
  <c r="B48" i="7"/>
  <c r="B47" i="7"/>
  <c r="B44" i="7"/>
  <c r="C41" i="7"/>
  <c r="C39" i="7"/>
  <c r="C37" i="7"/>
  <c r="C36" i="7"/>
  <c r="B41" i="7"/>
  <c r="B37" i="7"/>
  <c r="B36" i="7"/>
  <c r="C29" i="7"/>
  <c r="B29" i="7"/>
  <c r="C22" i="7"/>
  <c r="B22" i="7"/>
  <c r="C14" i="7"/>
  <c r="B19" i="7"/>
  <c r="B14" i="7"/>
  <c r="C9" i="7"/>
  <c r="C8" i="7"/>
  <c r="C7" i="7"/>
  <c r="C6" i="7"/>
  <c r="C5" i="7"/>
  <c r="B9" i="7"/>
  <c r="B8" i="7"/>
  <c r="B7" i="7"/>
  <c r="B6" i="7"/>
  <c r="B5" i="7"/>
  <c r="D8" i="13"/>
  <c r="D7" i="13"/>
  <c r="D6" i="13"/>
  <c r="D5" i="13"/>
  <c r="C8" i="13"/>
  <c r="C7" i="13"/>
  <c r="C6" i="13"/>
  <c r="C5" i="13"/>
  <c r="B8" i="13"/>
  <c r="B7" i="13"/>
  <c r="B6" i="13"/>
  <c r="B5" i="13"/>
  <c r="C26" i="10"/>
  <c r="D26" i="10"/>
  <c r="E26" i="10"/>
  <c r="F26" i="10"/>
  <c r="G26" i="10"/>
  <c r="H26" i="10"/>
  <c r="I26" i="10"/>
  <c r="J26" i="10"/>
  <c r="K26" i="10"/>
  <c r="L26" i="10"/>
  <c r="M26" i="10"/>
  <c r="N26" i="10"/>
  <c r="O26" i="10"/>
  <c r="P26" i="10"/>
  <c r="Q26" i="10"/>
  <c r="R26" i="10"/>
  <c r="S26" i="10"/>
  <c r="T26" i="10"/>
  <c r="U26" i="10"/>
  <c r="V26" i="10"/>
  <c r="W26" i="10"/>
  <c r="X26" i="10"/>
  <c r="Y26" i="10"/>
  <c r="C22" i="10"/>
  <c r="D22" i="10"/>
  <c r="E22" i="10"/>
  <c r="F22" i="10"/>
  <c r="G22" i="10"/>
  <c r="H22" i="10"/>
  <c r="I22" i="10"/>
  <c r="J22" i="10"/>
  <c r="K22" i="10"/>
  <c r="L22" i="10"/>
  <c r="M22" i="10"/>
  <c r="N22" i="10"/>
  <c r="O22" i="10"/>
  <c r="P22" i="10"/>
  <c r="Q22" i="10"/>
  <c r="R22" i="10"/>
  <c r="S22" i="10"/>
  <c r="T22" i="10"/>
  <c r="U22" i="10"/>
  <c r="V22" i="10"/>
  <c r="W22" i="10"/>
  <c r="X22" i="10"/>
  <c r="Y22" i="10"/>
  <c r="Z22" i="10"/>
  <c r="Y16" i="10" a="1"/>
  <c r="Z16" i="10" a="1"/>
  <c r="C13" i="10"/>
  <c r="D13" i="10"/>
  <c r="E13" i="10"/>
  <c r="F13" i="10"/>
  <c r="G13" i="10"/>
  <c r="H13" i="10"/>
  <c r="I13" i="10"/>
  <c r="J13" i="10"/>
  <c r="K13" i="10"/>
  <c r="L13" i="10"/>
  <c r="M13" i="10"/>
  <c r="N13" i="10"/>
  <c r="O13" i="10"/>
  <c r="P13" i="10"/>
  <c r="Q13" i="10"/>
  <c r="R13" i="10"/>
  <c r="S13" i="10"/>
  <c r="T13" i="10"/>
  <c r="U13" i="10"/>
  <c r="V13" i="10"/>
  <c r="W13" i="10"/>
  <c r="X13" i="10"/>
  <c r="Y13" i="10"/>
  <c r="Z13" i="10"/>
  <c r="C12" i="10"/>
  <c r="D12" i="10"/>
  <c r="E12" i="10"/>
  <c r="F12" i="10"/>
  <c r="G12" i="10"/>
  <c r="H12" i="10"/>
  <c r="I12" i="10"/>
  <c r="J12" i="10"/>
  <c r="K12" i="10"/>
  <c r="L12" i="10"/>
  <c r="M12" i="10"/>
  <c r="N12" i="10"/>
  <c r="O12" i="10"/>
  <c r="P12" i="10"/>
  <c r="Q12" i="10"/>
  <c r="R12" i="10"/>
  <c r="S12" i="10"/>
  <c r="T12" i="10"/>
  <c r="U12" i="10"/>
  <c r="V12" i="10"/>
  <c r="W12" i="10"/>
  <c r="X12" i="10"/>
  <c r="Y12" i="10"/>
  <c r="Z12" i="10"/>
  <c r="B26" i="10"/>
  <c r="B22" i="10"/>
  <c r="B16" i="10" a="1"/>
  <c r="B13" i="10"/>
  <c r="B12" i="10"/>
  <c r="C26" i="9"/>
  <c r="D26" i="9"/>
  <c r="E26" i="9"/>
  <c r="F26" i="9"/>
  <c r="G26" i="9"/>
  <c r="H26" i="9"/>
  <c r="I26" i="9"/>
  <c r="J26" i="9"/>
  <c r="K26" i="9"/>
  <c r="L26" i="9"/>
  <c r="M26" i="9"/>
  <c r="N26" i="9"/>
  <c r="O26" i="9"/>
  <c r="P26" i="9"/>
  <c r="Q26" i="9"/>
  <c r="R26" i="9"/>
  <c r="S26" i="9"/>
  <c r="T26" i="9"/>
  <c r="U26" i="9"/>
  <c r="V26" i="9"/>
  <c r="W26" i="9"/>
  <c r="X26" i="9"/>
  <c r="Y26" i="9"/>
  <c r="C22" i="9"/>
  <c r="D22" i="9"/>
  <c r="E22" i="9"/>
  <c r="F22" i="9"/>
  <c r="G22" i="9"/>
  <c r="H22" i="9"/>
  <c r="I22" i="9"/>
  <c r="J22" i="9"/>
  <c r="K22" i="9"/>
  <c r="L22" i="9"/>
  <c r="M22" i="9"/>
  <c r="N22" i="9"/>
  <c r="O22" i="9"/>
  <c r="P22" i="9"/>
  <c r="Q22" i="9"/>
  <c r="R22" i="9"/>
  <c r="S22" i="9"/>
  <c r="T22" i="9"/>
  <c r="U22" i="9"/>
  <c r="V22" i="9"/>
  <c r="W22" i="9"/>
  <c r="X22" i="9"/>
  <c r="Y22" i="9"/>
  <c r="Z22" i="9"/>
  <c r="C13" i="9"/>
  <c r="D13" i="9"/>
  <c r="E13" i="9"/>
  <c r="F13" i="9"/>
  <c r="G13" i="9"/>
  <c r="H13" i="9"/>
  <c r="I13" i="9"/>
  <c r="J13" i="9"/>
  <c r="K13" i="9"/>
  <c r="L13" i="9"/>
  <c r="M13" i="9"/>
  <c r="N13" i="9"/>
  <c r="O13" i="9"/>
  <c r="P13" i="9"/>
  <c r="Q13" i="9"/>
  <c r="R13" i="9"/>
  <c r="S13" i="9"/>
  <c r="T13" i="9"/>
  <c r="U13" i="9"/>
  <c r="V13" i="9"/>
  <c r="W13" i="9"/>
  <c r="X13" i="9"/>
  <c r="Z12" i="9"/>
  <c r="C12" i="9"/>
  <c r="D12" i="9"/>
  <c r="E12" i="9"/>
  <c r="F12" i="9"/>
  <c r="G12" i="9"/>
  <c r="H12" i="9"/>
  <c r="I12" i="9"/>
  <c r="J12" i="9"/>
  <c r="K12" i="9"/>
  <c r="L12" i="9"/>
  <c r="M12" i="9"/>
  <c r="N12" i="9"/>
  <c r="O12" i="9"/>
  <c r="P12" i="9"/>
  <c r="Q12" i="9"/>
  <c r="R12" i="9"/>
  <c r="S12" i="9"/>
  <c r="T12" i="9"/>
  <c r="U12" i="9"/>
  <c r="V12" i="9"/>
  <c r="W12" i="9"/>
  <c r="X12" i="9"/>
  <c r="Y12" i="9"/>
  <c r="B26" i="9"/>
  <c r="B22" i="9"/>
  <c r="B16" i="9" a="1"/>
  <c r="B13" i="9"/>
  <c r="B12" i="9"/>
  <c r="G12" i="8"/>
  <c r="G11" i="8"/>
  <c r="G9" i="8"/>
  <c r="G8" i="8"/>
  <c r="G7" i="8"/>
  <c r="G6" i="8"/>
  <c r="G5" i="8"/>
  <c r="F32" i="8"/>
  <c r="F31" i="8"/>
  <c r="F28" i="8"/>
  <c r="F20" i="8"/>
  <c r="F12" i="8"/>
  <c r="F9" i="8"/>
  <c r="F8" i="8"/>
  <c r="F7" i="8"/>
  <c r="F6" i="8"/>
  <c r="F5" i="8"/>
  <c r="B33" i="8"/>
  <c r="C28" i="8"/>
  <c r="C24" i="8"/>
  <c r="C21" i="8"/>
  <c r="C19" i="8"/>
  <c r="B24" i="8"/>
  <c r="B21" i="8"/>
  <c r="C10" i="8"/>
  <c r="C13" i="8" s="1"/>
  <c r="B9" i="10"/>
  <c r="B9" i="9"/>
  <c r="B41" i="5"/>
  <c r="B41" i="4"/>
  <c r="G17" i="2"/>
  <c r="B31" i="5" s="1"/>
  <c r="B31" i="6"/>
  <c r="E11" i="6"/>
  <c r="E6" i="6"/>
  <c r="I12" i="6"/>
  <c r="I11" i="6"/>
  <c r="E12" i="6"/>
  <c r="E7" i="6"/>
  <c r="E5" i="6"/>
  <c r="C26" i="6"/>
  <c r="B26" i="6"/>
  <c r="B17" i="6"/>
  <c r="B22" i="6" s="1"/>
  <c r="B16" i="6"/>
  <c r="B21" i="6" s="1"/>
  <c r="C12" i="6"/>
  <c r="C11" i="6"/>
  <c r="C31" i="6" s="1"/>
  <c r="C10" i="6"/>
  <c r="C15" i="6" s="1"/>
  <c r="B10" i="6"/>
  <c r="B15" i="6" s="1"/>
  <c r="C6" i="6"/>
  <c r="C16" i="6" s="1"/>
  <c r="C21" i="6" s="1"/>
  <c r="C7" i="6"/>
  <c r="C17" i="6" s="1"/>
  <c r="C22" i="6" s="1"/>
  <c r="C5" i="6"/>
  <c r="G22" i="2"/>
  <c r="B45" i="5"/>
  <c r="B43" i="5"/>
  <c r="B40" i="5"/>
  <c r="B39" i="5"/>
  <c r="B30" i="5"/>
  <c r="B13" i="5"/>
  <c r="C13" i="5" s="1"/>
  <c r="C9" i="5"/>
  <c r="D9" i="5"/>
  <c r="E9" i="5"/>
  <c r="F9" i="5"/>
  <c r="G9" i="5"/>
  <c r="B9" i="5"/>
  <c r="B20" i="5"/>
  <c r="B15" i="5"/>
  <c r="B18" i="5" s="1"/>
  <c r="B14" i="5"/>
  <c r="B16" i="5" s="1"/>
  <c r="B39" i="4"/>
  <c r="B45" i="4"/>
  <c r="B43" i="4"/>
  <c r="B40" i="4"/>
  <c r="B30" i="4"/>
  <c r="B20" i="4"/>
  <c r="B15" i="4"/>
  <c r="B18" i="4" s="1"/>
  <c r="B14" i="4"/>
  <c r="B13" i="4"/>
  <c r="C13" i="4" s="1"/>
  <c r="C9" i="4"/>
  <c r="D9" i="4"/>
  <c r="E9" i="4"/>
  <c r="F9" i="4"/>
  <c r="G9" i="4"/>
  <c r="B9" i="4"/>
  <c r="E29" i="1"/>
  <c r="E28" i="1"/>
  <c r="E27" i="1"/>
  <c r="E4" i="1"/>
  <c r="E12" i="1"/>
  <c r="C9" i="3"/>
  <c r="B35" i="3"/>
  <c r="B4" i="3"/>
  <c r="B5" i="3"/>
  <c r="B23" i="3" s="1"/>
  <c r="B16" i="7" s="1"/>
  <c r="E8" i="1"/>
  <c r="E9" i="1"/>
  <c r="E26" i="3"/>
  <c r="B17" i="3"/>
  <c r="C17" i="3"/>
  <c r="B13" i="3"/>
  <c r="B12" i="3"/>
  <c r="C12" i="3"/>
  <c r="B10" i="3"/>
  <c r="B9" i="3"/>
  <c r="B17" i="1"/>
  <c r="C18" i="1"/>
  <c r="B18" i="1"/>
  <c r="C17" i="1"/>
  <c r="C35" i="3"/>
  <c r="I24" i="1"/>
  <c r="E24" i="1"/>
  <c r="B18" i="3"/>
  <c r="C18" i="3"/>
  <c r="C13" i="3"/>
  <c r="C10" i="3"/>
  <c r="C5" i="3"/>
  <c r="C4" i="3"/>
  <c r="C22" i="3" s="1"/>
  <c r="C15" i="7" s="1"/>
  <c r="F24" i="2"/>
  <c r="G24" i="2"/>
  <c r="B7" i="5" s="1"/>
  <c r="F23" i="2"/>
  <c r="G23" i="2"/>
  <c r="B6" i="5" s="1"/>
  <c r="E24" i="2"/>
  <c r="E23" i="2"/>
  <c r="F22" i="2"/>
  <c r="E22" i="2"/>
  <c r="G21" i="2"/>
  <c r="B4" i="5" s="1"/>
  <c r="F21" i="2"/>
  <c r="F13" i="2"/>
  <c r="F25" i="2" s="1"/>
  <c r="G13" i="2"/>
  <c r="E13" i="2"/>
  <c r="E25" i="2" s="1"/>
  <c r="C24" i="2"/>
  <c r="D24" i="2"/>
  <c r="B7" i="4" s="1"/>
  <c r="B24" i="2"/>
  <c r="C23" i="2"/>
  <c r="D23" i="2"/>
  <c r="B6" i="4" s="1"/>
  <c r="B23" i="2"/>
  <c r="D22" i="2"/>
  <c r="B22" i="2"/>
  <c r="D21" i="2"/>
  <c r="B4" i="4" s="1"/>
  <c r="C21" i="2"/>
  <c r="D13" i="2"/>
  <c r="C13" i="2"/>
  <c r="C25" i="2" s="1"/>
  <c r="B13" i="2"/>
  <c r="B25" i="2" s="1"/>
  <c r="E21" i="1"/>
  <c r="E22" i="1"/>
  <c r="E13" i="1"/>
  <c r="E11" i="1"/>
  <c r="I11" i="1"/>
  <c r="I10" i="1"/>
  <c r="E10" i="1"/>
  <c r="I8" i="1"/>
  <c r="E7" i="1"/>
  <c r="E6" i="1"/>
  <c r="E5" i="1"/>
  <c r="C21" i="1"/>
  <c r="B21" i="1"/>
  <c r="C12" i="1"/>
  <c r="B5" i="5" l="1"/>
  <c r="C23" i="7"/>
  <c r="B5" i="4"/>
  <c r="B23" i="7"/>
  <c r="B24" i="7"/>
  <c r="B32" i="4"/>
  <c r="B32" i="5"/>
  <c r="C24" i="7"/>
  <c r="C28" i="17"/>
  <c r="C9" i="17"/>
  <c r="C31" i="17"/>
  <c r="C32" i="17"/>
  <c r="B31" i="17"/>
  <c r="B32" i="17"/>
  <c r="B39" i="7"/>
  <c r="B12" i="15"/>
  <c r="C16" i="10" a="1"/>
  <c r="O16" i="10" a="1"/>
  <c r="F16" i="10" a="1"/>
  <c r="P16" i="10" a="1"/>
  <c r="E16" i="10" a="1"/>
  <c r="M16" i="10" a="1"/>
  <c r="W16" i="10" a="1"/>
  <c r="G16" i="10" a="1"/>
  <c r="N16" i="10" a="1"/>
  <c r="X16" i="10" a="1"/>
  <c r="I16" i="10" a="1"/>
  <c r="Q16" i="10" a="1"/>
  <c r="H16" i="10" a="1"/>
  <c r="R16" i="10" a="1"/>
  <c r="J16" i="10" a="1"/>
  <c r="V16" i="10" a="1"/>
  <c r="L16" i="10" a="1"/>
  <c r="U16" i="10" a="1"/>
  <c r="D16" i="10" a="1"/>
  <c r="S16" i="10" a="1"/>
  <c r="K16" i="10" a="1"/>
  <c r="T16" i="10" a="1"/>
  <c r="B14" i="10"/>
  <c r="P16" i="9" a="1"/>
  <c r="L16" i="9" a="1"/>
  <c r="R16" i="9" a="1"/>
  <c r="X16" i="9" a="1"/>
  <c r="O16" i="9" a="1"/>
  <c r="U16" i="9" a="1"/>
  <c r="I16" i="9" a="1"/>
  <c r="H16" i="9" a="1"/>
  <c r="G16" i="9" a="1"/>
  <c r="F16" i="9" a="1"/>
  <c r="E16" i="9" a="1"/>
  <c r="D16" i="9" a="1"/>
  <c r="C16" i="9" a="1"/>
  <c r="J16" i="9" a="1"/>
  <c r="N16" i="9" a="1"/>
  <c r="V16" i="9" a="1"/>
  <c r="T16" i="9" a="1"/>
  <c r="W16" i="9" a="1"/>
  <c r="Q16" i="9" a="1"/>
  <c r="K16" i="9" a="1"/>
  <c r="Y16" i="9" a="1"/>
  <c r="S16" i="9" a="1"/>
  <c r="M16" i="9" a="1"/>
  <c r="Z16" i="9" a="1"/>
  <c r="B14" i="9"/>
  <c r="B35" i="8"/>
  <c r="B34" i="8"/>
  <c r="C4" i="10"/>
  <c r="C9" i="10" s="1"/>
  <c r="C14" i="10" s="1"/>
  <c r="B11" i="10"/>
  <c r="B11" i="9"/>
  <c r="C9" i="9"/>
  <c r="C14" i="9" s="1"/>
  <c r="B16" i="4"/>
  <c r="B17" i="4" s="1"/>
  <c r="B19" i="4" s="1"/>
  <c r="C20" i="6"/>
  <c r="C35" i="7" s="1"/>
  <c r="G25" i="2"/>
  <c r="B21" i="5"/>
  <c r="D25" i="2"/>
  <c r="B21" i="4"/>
  <c r="C32" i="6"/>
  <c r="C24" i="6"/>
  <c r="C29" i="6"/>
  <c r="B29" i="6"/>
  <c r="B20" i="6"/>
  <c r="C23" i="6"/>
  <c r="B17" i="5"/>
  <c r="B19" i="5" s="1"/>
  <c r="D13" i="5"/>
  <c r="C15" i="5"/>
  <c r="C18" i="5" s="1"/>
  <c r="C20" i="5"/>
  <c r="C14" i="5"/>
  <c r="C15" i="4"/>
  <c r="C18" i="4" s="1"/>
  <c r="C20" i="4"/>
  <c r="D13" i="4"/>
  <c r="B6" i="3"/>
  <c r="B36" i="3" s="1"/>
  <c r="B37" i="3" s="1"/>
  <c r="B11" i="3"/>
  <c r="C19" i="3"/>
  <c r="B19" i="3"/>
  <c r="B22" i="3"/>
  <c r="B15" i="7" s="1"/>
  <c r="C23" i="3"/>
  <c r="C16" i="7" s="1"/>
  <c r="C6" i="3"/>
  <c r="E5" i="4" l="1"/>
  <c r="F5" i="4"/>
  <c r="C5" i="4"/>
  <c r="C14" i="4" s="1"/>
  <c r="D5" i="4"/>
  <c r="G5" i="4"/>
  <c r="B8" i="5"/>
  <c r="C25" i="8"/>
  <c r="B8" i="4"/>
  <c r="B25" i="8"/>
  <c r="C8" i="5"/>
  <c r="C21" i="5" s="1"/>
  <c r="C22" i="5" s="1"/>
  <c r="E8" i="5"/>
  <c r="D8" i="5"/>
  <c r="D21" i="5" s="1"/>
  <c r="D22" i="5" s="1"/>
  <c r="C18" i="15"/>
  <c r="C45" i="7"/>
  <c r="B45" i="7"/>
  <c r="B18" i="15"/>
  <c r="B23" i="6"/>
  <c r="B35" i="7"/>
  <c r="C38" i="7"/>
  <c r="C11" i="15"/>
  <c r="B14" i="3"/>
  <c r="B24" i="3" s="1"/>
  <c r="B12" i="7"/>
  <c r="B23" i="10"/>
  <c r="B15" i="10"/>
  <c r="C15" i="10"/>
  <c r="C23" i="10"/>
  <c r="B24" i="9"/>
  <c r="B25" i="9" s="1"/>
  <c r="B23" i="9"/>
  <c r="B15" i="9"/>
  <c r="C15" i="9"/>
  <c r="C24" i="9"/>
  <c r="C23" i="9"/>
  <c r="C11" i="10"/>
  <c r="D4" i="10"/>
  <c r="D9" i="10" s="1"/>
  <c r="D14" i="10" s="1"/>
  <c r="D9" i="9"/>
  <c r="D14" i="9" s="1"/>
  <c r="C11" i="9"/>
  <c r="B38" i="3"/>
  <c r="B18" i="7" s="1"/>
  <c r="D8" i="4"/>
  <c r="D21" i="4" s="1"/>
  <c r="E8" i="4"/>
  <c r="F8" i="4"/>
  <c r="G8" i="4"/>
  <c r="C8" i="4"/>
  <c r="C21" i="4" s="1"/>
  <c r="C16" i="5"/>
  <c r="C17" i="5" s="1"/>
  <c r="E13" i="5"/>
  <c r="D14" i="5"/>
  <c r="D15" i="5"/>
  <c r="D18" i="5" s="1"/>
  <c r="D20" i="5"/>
  <c r="C16" i="4"/>
  <c r="D20" i="4"/>
  <c r="D15" i="4"/>
  <c r="D18" i="4" s="1"/>
  <c r="D14" i="4"/>
  <c r="E13" i="4"/>
  <c r="C11" i="3"/>
  <c r="C36" i="3"/>
  <c r="C37" i="3" s="1"/>
  <c r="C38" i="3" s="1"/>
  <c r="C18" i="7" s="1"/>
  <c r="G8" i="5" l="1"/>
  <c r="F8" i="5"/>
  <c r="B24" i="10"/>
  <c r="B25" i="10" s="1"/>
  <c r="C24" i="10"/>
  <c r="C25" i="10" s="1"/>
  <c r="B11" i="15"/>
  <c r="B38" i="7"/>
  <c r="B5" i="15"/>
  <c r="B13" i="7"/>
  <c r="C14" i="3"/>
  <c r="C12" i="7"/>
  <c r="B29" i="4"/>
  <c r="B7" i="15"/>
  <c r="B17" i="7"/>
  <c r="B26" i="8"/>
  <c r="C25" i="9"/>
  <c r="D23" i="10"/>
  <c r="D24" i="10"/>
  <c r="D25" i="10" s="1"/>
  <c r="D15" i="10"/>
  <c r="D23" i="9"/>
  <c r="D24" i="9"/>
  <c r="D25" i="9" s="1"/>
  <c r="D15" i="9"/>
  <c r="E4" i="10"/>
  <c r="E9" i="10" s="1"/>
  <c r="E14" i="10" s="1"/>
  <c r="D11" i="10"/>
  <c r="D11" i="9"/>
  <c r="E4" i="9"/>
  <c r="E9" i="9" s="1"/>
  <c r="E14" i="9" s="1"/>
  <c r="D22" i="4"/>
  <c r="C19" i="5"/>
  <c r="C23" i="5" s="1"/>
  <c r="F13" i="5"/>
  <c r="E14" i="5"/>
  <c r="E15" i="5"/>
  <c r="E18" i="5" s="1"/>
  <c r="E20" i="5"/>
  <c r="E21" i="5"/>
  <c r="E22" i="5" s="1"/>
  <c r="D16" i="5"/>
  <c r="C17" i="4"/>
  <c r="C19" i="4" s="1"/>
  <c r="D16" i="4"/>
  <c r="C22" i="4"/>
  <c r="E21" i="4"/>
  <c r="E22" i="4" s="1"/>
  <c r="E20" i="4"/>
  <c r="E15" i="4"/>
  <c r="E18" i="4" s="1"/>
  <c r="E14" i="4"/>
  <c r="F13" i="4"/>
  <c r="A51" i="4" l="1"/>
  <c r="G24" i="4"/>
  <c r="A54" i="4"/>
  <c r="F24" i="4"/>
  <c r="C24" i="4"/>
  <c r="D24" i="4"/>
  <c r="E24" i="4"/>
  <c r="A52" i="4"/>
  <c r="A55" i="4"/>
  <c r="A53" i="4"/>
  <c r="C5" i="15"/>
  <c r="C13" i="7"/>
  <c r="C24" i="3"/>
  <c r="Y28" i="9"/>
  <c r="W28" i="9"/>
  <c r="U28" i="9"/>
  <c r="S28" i="9"/>
  <c r="Q28" i="9"/>
  <c r="O28" i="9"/>
  <c r="M28" i="9"/>
  <c r="J28" i="9"/>
  <c r="H28" i="9"/>
  <c r="E28" i="9"/>
  <c r="B37" i="9"/>
  <c r="Z28" i="9"/>
  <c r="X28" i="9"/>
  <c r="V28" i="9"/>
  <c r="T28" i="9"/>
  <c r="R28" i="9"/>
  <c r="P28" i="9"/>
  <c r="N28" i="9"/>
  <c r="K28" i="9"/>
  <c r="I28" i="9"/>
  <c r="G28" i="9"/>
  <c r="F28" i="9"/>
  <c r="D28" i="9"/>
  <c r="C28" i="9"/>
  <c r="L28" i="9"/>
  <c r="B28" i="9"/>
  <c r="E24" i="10"/>
  <c r="E25" i="10" s="1"/>
  <c r="E23" i="10"/>
  <c r="E15" i="10"/>
  <c r="E23" i="9"/>
  <c r="E24" i="9"/>
  <c r="E25" i="9" s="1"/>
  <c r="E15" i="9"/>
  <c r="F4" i="10"/>
  <c r="F9" i="10" s="1"/>
  <c r="F14" i="10" s="1"/>
  <c r="E11" i="10"/>
  <c r="F4" i="9"/>
  <c r="F9" i="9" s="1"/>
  <c r="F14" i="9" s="1"/>
  <c r="E11" i="9"/>
  <c r="E16" i="4"/>
  <c r="G13" i="5"/>
  <c r="F14" i="5"/>
  <c r="F15" i="5"/>
  <c r="F18" i="5" s="1"/>
  <c r="F20" i="5"/>
  <c r="F21" i="5"/>
  <c r="F22" i="5" s="1"/>
  <c r="D17" i="5"/>
  <c r="D19" i="5" s="1"/>
  <c r="D23" i="5" s="1"/>
  <c r="E16" i="5"/>
  <c r="C23" i="4"/>
  <c r="D17" i="4"/>
  <c r="D19" i="4" s="1"/>
  <c r="D23" i="4" s="1"/>
  <c r="F21" i="4"/>
  <c r="F22" i="4" s="1"/>
  <c r="F20" i="4"/>
  <c r="F15" i="4"/>
  <c r="F18" i="4" s="1"/>
  <c r="F14" i="4"/>
  <c r="G13" i="4"/>
  <c r="D25" i="4" l="1"/>
  <c r="C26" i="8"/>
  <c r="C17" i="7"/>
  <c r="C7" i="15"/>
  <c r="B29" i="5"/>
  <c r="B12" i="14"/>
  <c r="B26" i="15"/>
  <c r="B48" i="9"/>
  <c r="B39" i="9"/>
  <c r="F24" i="10"/>
  <c r="F25" i="10" s="1"/>
  <c r="F15" i="10"/>
  <c r="F23" i="10"/>
  <c r="F24" i="9"/>
  <c r="F25" i="9" s="1"/>
  <c r="F15" i="9"/>
  <c r="F23" i="9"/>
  <c r="G4" i="10"/>
  <c r="G9" i="10" s="1"/>
  <c r="G14" i="10" s="1"/>
  <c r="F11" i="10"/>
  <c r="G4" i="9"/>
  <c r="G9" i="9" s="1"/>
  <c r="G14" i="9" s="1"/>
  <c r="F11" i="9"/>
  <c r="E17" i="4"/>
  <c r="E19" i="4" s="1"/>
  <c r="E23" i="4" s="1"/>
  <c r="F16" i="4"/>
  <c r="C25" i="4"/>
  <c r="G14" i="5"/>
  <c r="G15" i="5"/>
  <c r="G18" i="5" s="1"/>
  <c r="G20" i="5"/>
  <c r="G21" i="5"/>
  <c r="G22" i="5" s="1"/>
  <c r="E17" i="5"/>
  <c r="E19" i="5" s="1"/>
  <c r="E23" i="5" s="1"/>
  <c r="F16" i="5"/>
  <c r="G21" i="4"/>
  <c r="G22" i="4" s="1"/>
  <c r="G20" i="4"/>
  <c r="G15" i="4"/>
  <c r="G18" i="4" s="1"/>
  <c r="G14" i="4"/>
  <c r="A53" i="5" l="1"/>
  <c r="C24" i="5"/>
  <c r="C25" i="5" s="1"/>
  <c r="D24" i="5"/>
  <c r="D25" i="5" s="1"/>
  <c r="F24" i="5"/>
  <c r="A54" i="5"/>
  <c r="A52" i="5"/>
  <c r="E24" i="5"/>
  <c r="E25" i="5" s="1"/>
  <c r="G24" i="5"/>
  <c r="A55" i="5"/>
  <c r="A51" i="5"/>
  <c r="V28" i="10"/>
  <c r="P28" i="10"/>
  <c r="L28" i="10"/>
  <c r="C28" i="10"/>
  <c r="W28" i="10"/>
  <c r="O28" i="10"/>
  <c r="B37" i="10"/>
  <c r="B28" i="10"/>
  <c r="Q28" i="10"/>
  <c r="K28" i="10"/>
  <c r="G28" i="10"/>
  <c r="T28" i="10"/>
  <c r="N28" i="10"/>
  <c r="H28" i="10"/>
  <c r="Z28" i="10"/>
  <c r="U28" i="10"/>
  <c r="J28" i="10"/>
  <c r="F28" i="10"/>
  <c r="X28" i="10"/>
  <c r="R28" i="10"/>
  <c r="D28" i="10"/>
  <c r="Y28" i="10"/>
  <c r="S28" i="10"/>
  <c r="M28" i="10"/>
  <c r="I28" i="10"/>
  <c r="E28" i="10"/>
  <c r="G16" i="4"/>
  <c r="E25" i="4"/>
  <c r="G15" i="10"/>
  <c r="G24" i="10"/>
  <c r="G25" i="10" s="1"/>
  <c r="G23" i="10"/>
  <c r="G15" i="9"/>
  <c r="G24" i="9"/>
  <c r="G25" i="9" s="1"/>
  <c r="G23" i="9"/>
  <c r="H4" i="10"/>
  <c r="H9" i="10" s="1"/>
  <c r="H14" i="10" s="1"/>
  <c r="G11" i="10"/>
  <c r="H4" i="9"/>
  <c r="H9" i="9" s="1"/>
  <c r="H14" i="9" s="1"/>
  <c r="G11" i="9"/>
  <c r="F17" i="4"/>
  <c r="F19" i="4" s="1"/>
  <c r="F23" i="4" s="1"/>
  <c r="G16" i="5"/>
  <c r="F17" i="5"/>
  <c r="F19" i="5" s="1"/>
  <c r="F23" i="5" s="1"/>
  <c r="C12" i="14" l="1"/>
  <c r="C26" i="15"/>
  <c r="B48" i="10"/>
  <c r="B39" i="10"/>
  <c r="B33" i="4"/>
  <c r="B34" i="4" s="1"/>
  <c r="B35" i="4" s="1"/>
  <c r="G17" i="4"/>
  <c r="G19" i="4" s="1"/>
  <c r="G23" i="4" s="1"/>
  <c r="G25" i="4" s="1"/>
  <c r="G17" i="5"/>
  <c r="G19" i="5" s="1"/>
  <c r="G23" i="5" s="1"/>
  <c r="G25" i="5" s="1"/>
  <c r="B33" i="5"/>
  <c r="B34" i="5" s="1"/>
  <c r="B35" i="5" s="1"/>
  <c r="H15" i="10"/>
  <c r="H24" i="10"/>
  <c r="H25" i="10" s="1"/>
  <c r="H23" i="10"/>
  <c r="H23" i="9"/>
  <c r="H24" i="9"/>
  <c r="H25" i="9" s="1"/>
  <c r="H15" i="9"/>
  <c r="I4" i="10"/>
  <c r="I9" i="10" s="1"/>
  <c r="I14" i="10" s="1"/>
  <c r="H11" i="10"/>
  <c r="H11" i="9"/>
  <c r="I4" i="9"/>
  <c r="I9" i="9" s="1"/>
  <c r="I14" i="9" s="1"/>
  <c r="F25" i="4"/>
  <c r="F25" i="5"/>
  <c r="B53" i="5" l="1" a="1"/>
  <c r="D52" i="5" a="1"/>
  <c r="C55" i="5" a="1"/>
  <c r="D54" i="5" a="1"/>
  <c r="B55" i="5" a="1"/>
  <c r="D53" i="5" a="1"/>
  <c r="B51" i="5" a="1"/>
  <c r="C53" i="5" a="1"/>
  <c r="C54" i="5" a="1"/>
  <c r="C51" i="5" a="1"/>
  <c r="B54" i="5" a="1"/>
  <c r="D51" i="5" a="1"/>
  <c r="D55" i="5" a="1"/>
  <c r="C52" i="5" a="1"/>
  <c r="B52" i="5" a="1"/>
  <c r="D51" i="4" a="1"/>
  <c r="B51" i="4" a="1"/>
  <c r="C54" i="4" a="1"/>
  <c r="B52" i="4" a="1"/>
  <c r="B55" i="4" a="1"/>
  <c r="C55" i="4" a="1"/>
  <c r="D53" i="4" a="1"/>
  <c r="B53" i="4" a="1"/>
  <c r="D52" i="4" a="1"/>
  <c r="C51" i="4" a="1"/>
  <c r="C53" i="4" a="1"/>
  <c r="D55" i="4" a="1"/>
  <c r="B54" i="4" a="1"/>
  <c r="D54" i="4" a="1"/>
  <c r="C52" i="4" a="1"/>
  <c r="I15" i="10"/>
  <c r="I23" i="10"/>
  <c r="I24" i="10"/>
  <c r="I25" i="10" s="1"/>
  <c r="I24" i="9"/>
  <c r="I25" i="9" s="1"/>
  <c r="I23" i="9"/>
  <c r="I15" i="9"/>
  <c r="J4" i="10"/>
  <c r="J9" i="10" s="1"/>
  <c r="J14" i="10" s="1"/>
  <c r="I11" i="10"/>
  <c r="I11" i="9"/>
  <c r="J4" i="9"/>
  <c r="J9" i="9" s="1"/>
  <c r="J14" i="9" s="1"/>
  <c r="B36" i="4"/>
  <c r="B37" i="4" s="1"/>
  <c r="B36" i="5"/>
  <c r="B37" i="5" s="1"/>
  <c r="C31" i="7" l="1"/>
  <c r="C32" i="7"/>
  <c r="B32" i="7"/>
  <c r="B31" i="7"/>
  <c r="C25" i="7"/>
  <c r="C30" i="6"/>
  <c r="B25" i="7"/>
  <c r="B30" i="6"/>
  <c r="J23" i="10"/>
  <c r="J15" i="10"/>
  <c r="J24" i="10"/>
  <c r="J25" i="10" s="1"/>
  <c r="J24" i="9"/>
  <c r="J25" i="9" s="1"/>
  <c r="J23" i="9"/>
  <c r="J15" i="9"/>
  <c r="K4" i="10"/>
  <c r="K9" i="10" s="1"/>
  <c r="K14" i="10" s="1"/>
  <c r="J11" i="10"/>
  <c r="K4" i="9"/>
  <c r="K9" i="9" s="1"/>
  <c r="K14" i="9" s="1"/>
  <c r="J11" i="9"/>
  <c r="B38" i="4"/>
  <c r="B26" i="7" s="1"/>
  <c r="B42" i="4"/>
  <c r="B42" i="5"/>
  <c r="B38" i="5"/>
  <c r="C26" i="7" s="1"/>
  <c r="C46" i="7" l="1"/>
  <c r="C19" i="15"/>
  <c r="B44" i="5"/>
  <c r="C27" i="7"/>
  <c r="B19" i="15"/>
  <c r="B46" i="7"/>
  <c r="B44" i="4"/>
  <c r="B27" i="7"/>
  <c r="K15" i="10"/>
  <c r="K24" i="10"/>
  <c r="K25" i="10" s="1"/>
  <c r="K23" i="10"/>
  <c r="K24" i="9"/>
  <c r="K25" i="9" s="1"/>
  <c r="K23" i="9"/>
  <c r="K15" i="9"/>
  <c r="L4" i="10"/>
  <c r="L9" i="10" s="1"/>
  <c r="L14" i="10" s="1"/>
  <c r="K11" i="10"/>
  <c r="L4" i="9"/>
  <c r="L9" i="9" s="1"/>
  <c r="L14" i="9" s="1"/>
  <c r="K11" i="9"/>
  <c r="B46" i="5" l="1"/>
  <c r="C30" i="7" s="1"/>
  <c r="C25" i="6"/>
  <c r="C40" i="7" s="1"/>
  <c r="C10" i="15"/>
  <c r="C28" i="7"/>
  <c r="C14" i="15"/>
  <c r="B25" i="6"/>
  <c r="B40" i="7" s="1"/>
  <c r="B46" i="4"/>
  <c r="B28" i="7"/>
  <c r="B10" i="15"/>
  <c r="L15" i="10"/>
  <c r="L23" i="10"/>
  <c r="L24" i="10"/>
  <c r="L25" i="10" s="1"/>
  <c r="L24" i="9"/>
  <c r="L25" i="9" s="1"/>
  <c r="L23" i="9"/>
  <c r="L15" i="9"/>
  <c r="L11" i="10"/>
  <c r="M4" i="10"/>
  <c r="M9" i="10" s="1"/>
  <c r="M14" i="10" s="1"/>
  <c r="L11" i="9"/>
  <c r="M4" i="9"/>
  <c r="M9" i="9" s="1"/>
  <c r="M14" i="9" s="1"/>
  <c r="B30" i="7" l="1"/>
  <c r="B14" i="15"/>
  <c r="M23" i="10"/>
  <c r="M24" i="10"/>
  <c r="M25" i="10" s="1"/>
  <c r="M15" i="10"/>
  <c r="M15" i="9"/>
  <c r="M24" i="9"/>
  <c r="M25" i="9" s="1"/>
  <c r="M23" i="9"/>
  <c r="M11" i="10"/>
  <c r="N4" i="10"/>
  <c r="N9" i="10" s="1"/>
  <c r="N14" i="10" s="1"/>
  <c r="M11" i="9"/>
  <c r="N4" i="9"/>
  <c r="N9" i="9" s="1"/>
  <c r="N14" i="9" s="1"/>
  <c r="N15" i="10" l="1"/>
  <c r="N23" i="10"/>
  <c r="N24" i="10"/>
  <c r="N25" i="10" s="1"/>
  <c r="N23" i="9"/>
  <c r="N24" i="9"/>
  <c r="N25" i="9" s="1"/>
  <c r="N15" i="9"/>
  <c r="N11" i="10"/>
  <c r="O4" i="10"/>
  <c r="O9" i="10" s="1"/>
  <c r="O14" i="10" s="1"/>
  <c r="N11" i="9"/>
  <c r="O4" i="9"/>
  <c r="O9" i="9" s="1"/>
  <c r="O14" i="9" s="1"/>
  <c r="O15" i="10" l="1"/>
  <c r="O24" i="10"/>
  <c r="O25" i="10" s="1"/>
  <c r="O23" i="10"/>
  <c r="O24" i="9"/>
  <c r="O25" i="9" s="1"/>
  <c r="O23" i="9"/>
  <c r="O15" i="9"/>
  <c r="O11" i="10"/>
  <c r="P4" i="10"/>
  <c r="P9" i="10" s="1"/>
  <c r="P14" i="10" s="1"/>
  <c r="P4" i="9"/>
  <c r="P9" i="9" s="1"/>
  <c r="P14" i="9" s="1"/>
  <c r="O11" i="9"/>
  <c r="P23" i="10" l="1"/>
  <c r="P15" i="10"/>
  <c r="P24" i="10"/>
  <c r="P25" i="10" s="1"/>
  <c r="P24" i="9"/>
  <c r="P25" i="9" s="1"/>
  <c r="P15" i="9"/>
  <c r="P23" i="9"/>
  <c r="Q4" i="10"/>
  <c r="Q9" i="10" s="1"/>
  <c r="Q14" i="10" s="1"/>
  <c r="P11" i="10"/>
  <c r="P11" i="9"/>
  <c r="Q4" i="9"/>
  <c r="Q9" i="9" s="1"/>
  <c r="Q14" i="9" s="1"/>
  <c r="Q23" i="10" l="1"/>
  <c r="Q15" i="10"/>
  <c r="Q24" i="10"/>
  <c r="Q25" i="10" s="1"/>
  <c r="Q24" i="9"/>
  <c r="Q25" i="9" s="1"/>
  <c r="Q15" i="9"/>
  <c r="Q23" i="9"/>
  <c r="R4" i="10"/>
  <c r="R9" i="10" s="1"/>
  <c r="R14" i="10" s="1"/>
  <c r="Q11" i="10"/>
  <c r="Q11" i="9"/>
  <c r="R4" i="9"/>
  <c r="R9" i="9" s="1"/>
  <c r="R14" i="9" s="1"/>
  <c r="R24" i="10" l="1"/>
  <c r="R25" i="10" s="1"/>
  <c r="R15" i="10"/>
  <c r="R23" i="10"/>
  <c r="R15" i="9"/>
  <c r="R23" i="9"/>
  <c r="R24" i="9"/>
  <c r="R25" i="9" s="1"/>
  <c r="S4" i="10"/>
  <c r="S9" i="10" s="1"/>
  <c r="S14" i="10" s="1"/>
  <c r="R11" i="10"/>
  <c r="R11" i="9"/>
  <c r="S4" i="9"/>
  <c r="S9" i="9" s="1"/>
  <c r="S14" i="9" s="1"/>
  <c r="S24" i="10" l="1"/>
  <c r="S25" i="10" s="1"/>
  <c r="S15" i="10"/>
  <c r="S23" i="10"/>
  <c r="S24" i="9"/>
  <c r="S25" i="9" s="1"/>
  <c r="S23" i="9"/>
  <c r="S15" i="9"/>
  <c r="T4" i="10"/>
  <c r="T9" i="10" s="1"/>
  <c r="T14" i="10" s="1"/>
  <c r="S11" i="10"/>
  <c r="T4" i="9"/>
  <c r="T9" i="9" s="1"/>
  <c r="T14" i="9" s="1"/>
  <c r="S11" i="9"/>
  <c r="T23" i="10" l="1"/>
  <c r="T24" i="10"/>
  <c r="T25" i="10" s="1"/>
  <c r="T15" i="10"/>
  <c r="T24" i="9"/>
  <c r="T25" i="9" s="1"/>
  <c r="T23" i="9"/>
  <c r="T15" i="9"/>
  <c r="T11" i="10"/>
  <c r="U4" i="10"/>
  <c r="U9" i="10" s="1"/>
  <c r="U14" i="10" s="1"/>
  <c r="T11" i="9"/>
  <c r="U4" i="9"/>
  <c r="U9" i="9" s="1"/>
  <c r="U14" i="9" s="1"/>
  <c r="U24" i="10" l="1"/>
  <c r="U25" i="10" s="1"/>
  <c r="U23" i="10"/>
  <c r="U15" i="10"/>
  <c r="U24" i="9"/>
  <c r="U25" i="9" s="1"/>
  <c r="U15" i="9"/>
  <c r="U23" i="9"/>
  <c r="U11" i="10"/>
  <c r="V4" i="10"/>
  <c r="V9" i="10" s="1"/>
  <c r="V14" i="10" s="1"/>
  <c r="V4" i="9"/>
  <c r="V9" i="9" s="1"/>
  <c r="V14" i="9" s="1"/>
  <c r="U11" i="9"/>
  <c r="V23" i="10" l="1"/>
  <c r="V15" i="10"/>
  <c r="V24" i="10"/>
  <c r="V25" i="10" s="1"/>
  <c r="V15" i="9"/>
  <c r="V24" i="9"/>
  <c r="V25" i="9" s="1"/>
  <c r="V23" i="9"/>
  <c r="W4" i="10"/>
  <c r="W9" i="10" s="1"/>
  <c r="W14" i="10" s="1"/>
  <c r="V11" i="10"/>
  <c r="V11" i="9"/>
  <c r="W4" i="9"/>
  <c r="W9" i="9" s="1"/>
  <c r="W14" i="9" s="1"/>
  <c r="W23" i="10" l="1"/>
  <c r="W24" i="10"/>
  <c r="W25" i="10" s="1"/>
  <c r="W15" i="10"/>
  <c r="W24" i="9"/>
  <c r="W25" i="9" s="1"/>
  <c r="W23" i="9"/>
  <c r="W15" i="9"/>
  <c r="W11" i="10"/>
  <c r="X4" i="10"/>
  <c r="X9" i="10" s="1"/>
  <c r="X14" i="10" s="1"/>
  <c r="X4" i="9"/>
  <c r="X9" i="9" s="1"/>
  <c r="X14" i="9" s="1"/>
  <c r="W11" i="9"/>
  <c r="X23" i="10" l="1"/>
  <c r="X24" i="10"/>
  <c r="X25" i="10" s="1"/>
  <c r="X15" i="10"/>
  <c r="X15" i="9"/>
  <c r="X24" i="9"/>
  <c r="X25" i="9" s="1"/>
  <c r="X23" i="9"/>
  <c r="Y4" i="10"/>
  <c r="Y9" i="10" s="1"/>
  <c r="Y14" i="10" s="1"/>
  <c r="X11" i="10"/>
  <c r="X11" i="9"/>
  <c r="Y4" i="9"/>
  <c r="Y9" i="9" s="1"/>
  <c r="Y14" i="9" s="1"/>
  <c r="Y23" i="10" l="1"/>
  <c r="Y24" i="10"/>
  <c r="Y25" i="10" s="1"/>
  <c r="Y15" i="10"/>
  <c r="Y15" i="9"/>
  <c r="Y23" i="9"/>
  <c r="Y24" i="9"/>
  <c r="Y25" i="9" s="1"/>
  <c r="Y11" i="10"/>
  <c r="Z4" i="10"/>
  <c r="Z9" i="10" s="1"/>
  <c r="Z14" i="10" s="1"/>
  <c r="Y11" i="9"/>
  <c r="Z4" i="9"/>
  <c r="Z9" i="9" s="1"/>
  <c r="Z14" i="9" s="1"/>
  <c r="Q17" i="10" l="1" a="1"/>
  <c r="R17" i="10" a="1"/>
  <c r="L17" i="10" a="1"/>
  <c r="T17" i="10" a="1"/>
  <c r="I17" i="10" a="1"/>
  <c r="M17" i="10" a="1"/>
  <c r="B47" i="10"/>
  <c r="Z15" i="10"/>
  <c r="Z24" i="10"/>
  <c r="Z23" i="10"/>
  <c r="O17" i="10" s="1" a="1"/>
  <c r="H17" i="9" a="1"/>
  <c r="S17" i="9" a="1"/>
  <c r="F17" i="9" a="1"/>
  <c r="P17" i="9" a="1"/>
  <c r="K17" i="9" a="1"/>
  <c r="L17" i="9" a="1"/>
  <c r="V17" i="9" a="1"/>
  <c r="I17" i="9" a="1"/>
  <c r="O17" i="9" a="1"/>
  <c r="T17" i="9" a="1"/>
  <c r="Y17" i="9" a="1"/>
  <c r="D17" i="9" a="1"/>
  <c r="G17" i="9" a="1"/>
  <c r="B47" i="9"/>
  <c r="Z23" i="9"/>
  <c r="Z24" i="9"/>
  <c r="Z15" i="9"/>
  <c r="Z11" i="10"/>
  <c r="Z11" i="9"/>
  <c r="X17" i="9" l="1" a="1"/>
  <c r="R17" i="9" a="1"/>
  <c r="C17" i="9" a="1"/>
  <c r="W17" i="10" a="1"/>
  <c r="X17" i="10" a="1"/>
  <c r="N17" i="10" a="1"/>
  <c r="G17" i="10" a="1"/>
  <c r="O20" i="10"/>
  <c r="O18" i="10"/>
  <c r="O19" i="10" s="1"/>
  <c r="O21" i="10" s="1"/>
  <c r="O27" i="10" s="1"/>
  <c r="O29" i="10" s="1"/>
  <c r="Q18" i="10"/>
  <c r="Q19" i="10" s="1"/>
  <c r="Q20" i="10"/>
  <c r="R20" i="10"/>
  <c r="R18" i="10"/>
  <c r="R19" i="10" s="1"/>
  <c r="R21" i="10" s="1"/>
  <c r="R27" i="10" s="1"/>
  <c r="R29" i="10" s="1"/>
  <c r="L18" i="10"/>
  <c r="L19" i="10" s="1"/>
  <c r="L20" i="10"/>
  <c r="T20" i="10"/>
  <c r="T18" i="10"/>
  <c r="T19" i="10" s="1"/>
  <c r="I20" i="10"/>
  <c r="I18" i="10"/>
  <c r="I19" i="10" s="1"/>
  <c r="I21" i="10" s="1"/>
  <c r="I27" i="10" s="1"/>
  <c r="I29" i="10" s="1"/>
  <c r="M18" i="10"/>
  <c r="M19" i="10" s="1"/>
  <c r="M21" i="10" s="1"/>
  <c r="M27" i="10" s="1"/>
  <c r="M29" i="10" s="1"/>
  <c r="M20" i="10"/>
  <c r="Z25" i="10"/>
  <c r="D17" i="10" a="1"/>
  <c r="H17" i="10" a="1"/>
  <c r="U17" i="10" a="1"/>
  <c r="Z17" i="10" a="1"/>
  <c r="K17" i="10" a="1"/>
  <c r="S17" i="10" a="1"/>
  <c r="Y17" i="10" a="1"/>
  <c r="P17" i="10" a="1"/>
  <c r="V17" i="10" a="1"/>
  <c r="F17" i="10" a="1"/>
  <c r="C17" i="10" a="1"/>
  <c r="J17" i="10" a="1"/>
  <c r="E17" i="10" a="1"/>
  <c r="H18" i="9"/>
  <c r="H19" i="9" s="1"/>
  <c r="H20" i="9"/>
  <c r="S20" i="9"/>
  <c r="S18" i="9"/>
  <c r="S19" i="9" s="1"/>
  <c r="S21" i="9" s="1"/>
  <c r="S27" i="9" s="1"/>
  <c r="S29" i="9" s="1"/>
  <c r="F18" i="9"/>
  <c r="F19" i="9" s="1"/>
  <c r="F20" i="9"/>
  <c r="P20" i="9"/>
  <c r="P18" i="9"/>
  <c r="K20" i="9"/>
  <c r="K18" i="9"/>
  <c r="L18" i="9"/>
  <c r="L19" i="9" s="1"/>
  <c r="L20" i="9"/>
  <c r="V20" i="9"/>
  <c r="V18" i="9"/>
  <c r="I18" i="9"/>
  <c r="I19" i="9" s="1"/>
  <c r="I20" i="9"/>
  <c r="O20" i="9"/>
  <c r="O18" i="9"/>
  <c r="T20" i="9"/>
  <c r="T18" i="9"/>
  <c r="T19" i="9" s="1"/>
  <c r="T21" i="9" s="1"/>
  <c r="T27" i="9" s="1"/>
  <c r="T29" i="9" s="1"/>
  <c r="Y18" i="9"/>
  <c r="Y19" i="9" s="1"/>
  <c r="Y20" i="9"/>
  <c r="D18" i="9"/>
  <c r="D20" i="9"/>
  <c r="G18" i="9"/>
  <c r="G19" i="9" s="1"/>
  <c r="G20" i="9"/>
  <c r="Q17" i="9" a="1"/>
  <c r="J17" i="9" a="1"/>
  <c r="W17" i="9" a="1"/>
  <c r="Z17" i="9" a="1"/>
  <c r="N17" i="9" a="1"/>
  <c r="E17" i="9" a="1"/>
  <c r="M17" i="9" a="1"/>
  <c r="U17" i="9" a="1"/>
  <c r="Z25" i="9"/>
  <c r="L21" i="9" l="1"/>
  <c r="L27" i="9" s="1"/>
  <c r="L29" i="9" s="1"/>
  <c r="I21" i="9"/>
  <c r="I27" i="9" s="1"/>
  <c r="I29" i="9" s="1"/>
  <c r="X18" i="9"/>
  <c r="X19" i="9" s="1"/>
  <c r="X20" i="9"/>
  <c r="R18" i="9"/>
  <c r="R20" i="9"/>
  <c r="C18" i="9"/>
  <c r="C19" i="9" s="1"/>
  <c r="C20" i="9"/>
  <c r="F21" i="9"/>
  <c r="F27" i="9" s="1"/>
  <c r="F29" i="9" s="1"/>
  <c r="W20" i="10"/>
  <c r="W18" i="10"/>
  <c r="W19" i="10" s="1"/>
  <c r="W21" i="10" s="1"/>
  <c r="W27" i="10" s="1"/>
  <c r="W29" i="10" s="1"/>
  <c r="X18" i="10"/>
  <c r="X19" i="10" s="1"/>
  <c r="X20" i="10"/>
  <c r="N20" i="10"/>
  <c r="N18" i="10"/>
  <c r="G20" i="10"/>
  <c r="G18" i="10"/>
  <c r="D20" i="10"/>
  <c r="D18" i="10"/>
  <c r="D19" i="10" s="1"/>
  <c r="D21" i="10" s="1"/>
  <c r="D27" i="10" s="1"/>
  <c r="D29" i="10" s="1"/>
  <c r="H20" i="10"/>
  <c r="H18" i="10"/>
  <c r="H19" i="10" s="1"/>
  <c r="H21" i="10" s="1"/>
  <c r="H27" i="10" s="1"/>
  <c r="H29" i="10" s="1"/>
  <c r="U18" i="10"/>
  <c r="U19" i="10" s="1"/>
  <c r="U21" i="10" s="1"/>
  <c r="U27" i="10" s="1"/>
  <c r="U29" i="10" s="1"/>
  <c r="U20" i="10"/>
  <c r="Z18" i="10"/>
  <c r="Z19" i="10" s="1"/>
  <c r="Z20" i="10"/>
  <c r="K20" i="10"/>
  <c r="K18" i="10"/>
  <c r="K19" i="10" s="1"/>
  <c r="K21" i="10" s="1"/>
  <c r="K27" i="10" s="1"/>
  <c r="K29" i="10" s="1"/>
  <c r="S20" i="10"/>
  <c r="S18" i="10"/>
  <c r="S19" i="10" s="1"/>
  <c r="Y18" i="10"/>
  <c r="Y19" i="10" s="1"/>
  <c r="Y20" i="10"/>
  <c r="P20" i="10"/>
  <c r="P18" i="10"/>
  <c r="P19" i="10" s="1"/>
  <c r="P21" i="10" s="1"/>
  <c r="P27" i="10" s="1"/>
  <c r="P29" i="10" s="1"/>
  <c r="V18" i="10"/>
  <c r="V19" i="10" s="1"/>
  <c r="V20" i="10"/>
  <c r="F18" i="10"/>
  <c r="F19" i="10" s="1"/>
  <c r="F20" i="10"/>
  <c r="C18" i="10"/>
  <c r="C19" i="10" s="1"/>
  <c r="C20" i="10"/>
  <c r="J18" i="10"/>
  <c r="J19" i="10" s="1"/>
  <c r="J20" i="10"/>
  <c r="E20" i="10"/>
  <c r="E18" i="10"/>
  <c r="E19" i="10" s="1"/>
  <c r="E21" i="10" s="1"/>
  <c r="E27" i="10" s="1"/>
  <c r="E29" i="10" s="1"/>
  <c r="T21" i="10"/>
  <c r="T27" i="10" s="1"/>
  <c r="T29" i="10" s="1"/>
  <c r="Q21" i="10"/>
  <c r="Q27" i="10" s="1"/>
  <c r="Q29" i="10" s="1"/>
  <c r="L21" i="10"/>
  <c r="L27" i="10" s="1"/>
  <c r="L29" i="10" s="1"/>
  <c r="P19" i="9"/>
  <c r="P21" i="9"/>
  <c r="P27" i="9" s="1"/>
  <c r="P29" i="9" s="1"/>
  <c r="K19" i="9"/>
  <c r="K21" i="9" s="1"/>
  <c r="K27" i="9" s="1"/>
  <c r="K29" i="9" s="1"/>
  <c r="V19" i="9"/>
  <c r="V21" i="9" s="1"/>
  <c r="V27" i="9" s="1"/>
  <c r="V29" i="9" s="1"/>
  <c r="O19" i="9"/>
  <c r="O21" i="9"/>
  <c r="O27" i="9" s="1"/>
  <c r="O29" i="9" s="1"/>
  <c r="D19" i="9"/>
  <c r="D21" i="9" s="1"/>
  <c r="D27" i="9" s="1"/>
  <c r="D29" i="9" s="1"/>
  <c r="Q18" i="9"/>
  <c r="Q20" i="9"/>
  <c r="J18" i="9"/>
  <c r="J19" i="9" s="1"/>
  <c r="J20" i="9"/>
  <c r="W20" i="9"/>
  <c r="W18" i="9"/>
  <c r="W19" i="9" s="1"/>
  <c r="Z18" i="9"/>
  <c r="Z20" i="9"/>
  <c r="N18" i="9"/>
  <c r="N19" i="9" s="1"/>
  <c r="N20" i="9"/>
  <c r="E20" i="9"/>
  <c r="E18" i="9"/>
  <c r="E19" i="9" s="1"/>
  <c r="M20" i="9"/>
  <c r="M18" i="9"/>
  <c r="M19" i="9" s="1"/>
  <c r="M21" i="9" s="1"/>
  <c r="M27" i="9" s="1"/>
  <c r="M29" i="9" s="1"/>
  <c r="U18" i="9"/>
  <c r="U19" i="9" s="1"/>
  <c r="U20" i="9"/>
  <c r="H21" i="9"/>
  <c r="H27" i="9" s="1"/>
  <c r="H29" i="9" s="1"/>
  <c r="Y21" i="9"/>
  <c r="Y27" i="9" s="1"/>
  <c r="Y29" i="9" s="1"/>
  <c r="G21" i="9"/>
  <c r="G27" i="9" s="1"/>
  <c r="G29" i="9" s="1"/>
  <c r="B17" i="10" a="1"/>
  <c r="Z26" i="10" s="1"/>
  <c r="B17" i="9" a="1"/>
  <c r="Z26" i="9" s="1"/>
  <c r="E21" i="9" l="1"/>
  <c r="E27" i="9" s="1"/>
  <c r="E29" i="9" s="1"/>
  <c r="F21" i="10"/>
  <c r="F27" i="10" s="1"/>
  <c r="F29" i="10" s="1"/>
  <c r="N19" i="10"/>
  <c r="N21" i="10" s="1"/>
  <c r="N27" i="10" s="1"/>
  <c r="N29" i="10" s="1"/>
  <c r="G19" i="10"/>
  <c r="G21" i="10" s="1"/>
  <c r="G27" i="10" s="1"/>
  <c r="G29" i="10" s="1"/>
  <c r="X21" i="9"/>
  <c r="X27" i="9" s="1"/>
  <c r="X29" i="9" s="1"/>
  <c r="C21" i="9"/>
  <c r="C27" i="9" s="1"/>
  <c r="C29" i="9" s="1"/>
  <c r="R19" i="9"/>
  <c r="R21" i="9" s="1"/>
  <c r="R27" i="9" s="1"/>
  <c r="R29" i="9" s="1"/>
  <c r="U21" i="9"/>
  <c r="U27" i="9" s="1"/>
  <c r="U29" i="9" s="1"/>
  <c r="C21" i="10"/>
  <c r="C27" i="10" s="1"/>
  <c r="C29" i="10" s="1"/>
  <c r="S21" i="10"/>
  <c r="S27" i="10" s="1"/>
  <c r="S29" i="10" s="1"/>
  <c r="W21" i="9"/>
  <c r="W27" i="9" s="1"/>
  <c r="W29" i="9" s="1"/>
  <c r="X21" i="10"/>
  <c r="X27" i="10" s="1"/>
  <c r="X29" i="10" s="1"/>
  <c r="Y21" i="10"/>
  <c r="Y27" i="10" s="1"/>
  <c r="Y29" i="10" s="1"/>
  <c r="J21" i="10"/>
  <c r="J27" i="10" s="1"/>
  <c r="J29" i="10" s="1"/>
  <c r="V21" i="10"/>
  <c r="V27" i="10" s="1"/>
  <c r="V29" i="10" s="1"/>
  <c r="Z21" i="10"/>
  <c r="Z27" i="10" s="1"/>
  <c r="Z29" i="10" s="1"/>
  <c r="Q19" i="9"/>
  <c r="Q21" i="9" s="1"/>
  <c r="Q27" i="9" s="1"/>
  <c r="Q29" i="9" s="1"/>
  <c r="Z19" i="9"/>
  <c r="Z21" i="9" s="1"/>
  <c r="Z27" i="9" s="1"/>
  <c r="Z29" i="9" s="1"/>
  <c r="J21" i="9"/>
  <c r="J27" i="9" s="1"/>
  <c r="J29" i="9" s="1"/>
  <c r="N21" i="9"/>
  <c r="N27" i="9" s="1"/>
  <c r="N29" i="9" s="1"/>
  <c r="B18" i="10"/>
  <c r="B20" i="10"/>
  <c r="B18" i="9"/>
  <c r="B19" i="9" s="1"/>
  <c r="B20" i="9"/>
  <c r="B19" i="10" l="1"/>
  <c r="B21" i="10" s="1"/>
  <c r="B27" i="10" s="1"/>
  <c r="B53" i="10" s="1"/>
  <c r="B21" i="9"/>
  <c r="B27" i="9" s="1"/>
  <c r="B53" i="9" s="1"/>
  <c r="C25" i="15" l="1"/>
  <c r="C30" i="14"/>
  <c r="B30" i="14"/>
  <c r="B25" i="15"/>
  <c r="B36" i="10"/>
  <c r="B44" i="10"/>
  <c r="C18" i="14" s="1"/>
  <c r="B43" i="10"/>
  <c r="C17" i="14" s="1"/>
  <c r="B36" i="9"/>
  <c r="B44" i="9"/>
  <c r="B18" i="14" s="1"/>
  <c r="B43" i="9"/>
  <c r="B17" i="14" s="1"/>
  <c r="B29" i="10"/>
  <c r="B30" i="10"/>
  <c r="B29" i="9"/>
  <c r="B30" i="9"/>
  <c r="B38" i="10" l="1"/>
  <c r="C13" i="14" s="1"/>
  <c r="C24" i="15"/>
  <c r="C11" i="14"/>
  <c r="B38" i="9"/>
  <c r="B13" i="14" s="1"/>
  <c r="B24" i="15"/>
  <c r="B11" i="14"/>
  <c r="B31" i="10"/>
  <c r="B34" i="10"/>
  <c r="C30" i="10"/>
  <c r="D30" i="10" s="1"/>
  <c r="E30" i="10" s="1"/>
  <c r="B31" i="9"/>
  <c r="B34" i="9"/>
  <c r="C30" i="9"/>
  <c r="D30" i="9" s="1"/>
  <c r="E30" i="9" s="1"/>
  <c r="F30" i="9" s="1"/>
  <c r="G30" i="9" s="1"/>
  <c r="H30" i="9" s="1"/>
  <c r="I30" i="9" s="1"/>
  <c r="J30" i="9" s="1"/>
  <c r="K30" i="9" s="1"/>
  <c r="L30" i="9" s="1"/>
  <c r="M30" i="9" s="1"/>
  <c r="N30" i="9" s="1"/>
  <c r="O30" i="9" s="1"/>
  <c r="P30" i="9" s="1"/>
  <c r="Q30" i="9" s="1"/>
  <c r="R30" i="9" s="1"/>
  <c r="S30" i="9" s="1"/>
  <c r="T30" i="9" s="1"/>
  <c r="U30" i="9" s="1"/>
  <c r="V30" i="9" s="1"/>
  <c r="W30" i="9" s="1"/>
  <c r="X30" i="9" s="1"/>
  <c r="C9" i="14" l="1"/>
  <c r="C23" i="15"/>
  <c r="F30" i="10"/>
  <c r="G30" i="10" s="1"/>
  <c r="H30" i="10" s="1"/>
  <c r="I30" i="10" s="1"/>
  <c r="J30" i="10" s="1"/>
  <c r="K30" i="10" s="1"/>
  <c r="L30" i="10" s="1"/>
  <c r="M30" i="10" s="1"/>
  <c r="N30" i="10" s="1"/>
  <c r="O30" i="10" s="1"/>
  <c r="P30" i="10" s="1"/>
  <c r="Q30" i="10" s="1"/>
  <c r="R30" i="10" s="1"/>
  <c r="S30" i="10" s="1"/>
  <c r="T30" i="10" s="1"/>
  <c r="U30" i="10" s="1"/>
  <c r="V30" i="10" s="1"/>
  <c r="W30" i="10" s="1"/>
  <c r="X30" i="10" s="1"/>
  <c r="Y30" i="10" s="1"/>
  <c r="Z30" i="10" s="1"/>
  <c r="B41" i="10"/>
  <c r="C15" i="14" s="1"/>
  <c r="B23" i="15"/>
  <c r="B9" i="14"/>
  <c r="Y30" i="9"/>
  <c r="Z30" i="9" s="1"/>
  <c r="B41" i="9"/>
  <c r="B15" i="14" s="1"/>
  <c r="B35" i="10"/>
  <c r="C10" i="14" s="1"/>
  <c r="B49" i="10"/>
  <c r="B54" i="10" s="1"/>
  <c r="B40" i="10"/>
  <c r="C31" i="9"/>
  <c r="B10" i="14"/>
  <c r="B40" i="9"/>
  <c r="B49" i="9"/>
  <c r="B54" i="9" s="1"/>
  <c r="C31" i="10"/>
  <c r="B55" i="10" l="1"/>
  <c r="C31" i="14" s="1"/>
  <c r="B56" i="10"/>
  <c r="C32" i="14" s="1"/>
  <c r="B57" i="10"/>
  <c r="C33" i="14" s="1"/>
  <c r="B58" i="10"/>
  <c r="B59" i="10"/>
  <c r="C35" i="14" s="1"/>
  <c r="B59" i="9"/>
  <c r="B35" i="14" s="1"/>
  <c r="B58" i="9"/>
  <c r="B57" i="9"/>
  <c r="B33" i="14" s="1"/>
  <c r="B56" i="9"/>
  <c r="B32" i="14" s="1"/>
  <c r="B55" i="9"/>
  <c r="B31" i="14" s="1"/>
  <c r="O219" i="13"/>
  <c r="O482" i="13"/>
  <c r="O45" i="13"/>
  <c r="O48" i="13"/>
  <c r="O50" i="13"/>
  <c r="O52" i="13"/>
  <c r="O54" i="13"/>
  <c r="O56" i="13"/>
  <c r="O58" i="13"/>
  <c r="O60" i="13"/>
  <c r="O62" i="13"/>
  <c r="O64" i="13"/>
  <c r="O66" i="13"/>
  <c r="O68" i="13"/>
  <c r="O70" i="13"/>
  <c r="O72" i="13"/>
  <c r="O86" i="13"/>
  <c r="O89" i="13"/>
  <c r="O92" i="13"/>
  <c r="O95" i="13"/>
  <c r="O98" i="13"/>
  <c r="O101" i="13"/>
  <c r="O104" i="13"/>
  <c r="O107" i="13"/>
  <c r="O110" i="13"/>
  <c r="O113" i="13"/>
  <c r="O216" i="13"/>
  <c r="O250" i="13"/>
  <c r="O262" i="13"/>
  <c r="O303" i="13"/>
  <c r="O318" i="13"/>
  <c r="O366" i="13"/>
  <c r="O450" i="13"/>
  <c r="O472" i="13"/>
  <c r="O495" i="13"/>
  <c r="O513" i="13"/>
  <c r="O173" i="13"/>
  <c r="O177" i="13"/>
  <c r="O181" i="13"/>
  <c r="O185" i="13"/>
  <c r="O188" i="13"/>
  <c r="O192" i="13"/>
  <c r="O196" i="13"/>
  <c r="O470" i="13"/>
  <c r="O295" i="13"/>
  <c r="O357" i="13"/>
  <c r="O464" i="13"/>
  <c r="O321" i="13"/>
  <c r="O122" i="13"/>
  <c r="O436" i="13"/>
  <c r="O446" i="13"/>
  <c r="O456" i="13"/>
  <c r="O467" i="13"/>
  <c r="O476" i="13"/>
  <c r="O486" i="13"/>
  <c r="O497" i="13"/>
  <c r="O508" i="13"/>
  <c r="O518" i="13"/>
  <c r="O75" i="13"/>
  <c r="O76" i="13"/>
  <c r="O77" i="13"/>
  <c r="O78" i="13"/>
  <c r="O79" i="13"/>
  <c r="O80" i="13"/>
  <c r="O81" i="13"/>
  <c r="O82" i="13"/>
  <c r="O83" i="13"/>
  <c r="O84" i="13"/>
  <c r="O85" i="13"/>
  <c r="O87" i="13"/>
  <c r="O90" i="13"/>
  <c r="O93" i="13"/>
  <c r="O96" i="13"/>
  <c r="O99" i="13"/>
  <c r="O102" i="13"/>
  <c r="O105" i="13"/>
  <c r="O108" i="13"/>
  <c r="O111" i="13"/>
  <c r="O114" i="13"/>
  <c r="O242" i="13"/>
  <c r="O255" i="13"/>
  <c r="O268" i="13"/>
  <c r="O309" i="13"/>
  <c r="O355" i="13"/>
  <c r="O439" i="13"/>
  <c r="O462" i="13"/>
  <c r="O483" i="13"/>
  <c r="O504" i="13"/>
  <c r="O519" i="13"/>
  <c r="O174" i="13"/>
  <c r="O178" i="13"/>
  <c r="O182" i="13"/>
  <c r="O186" i="13"/>
  <c r="O190" i="13"/>
  <c r="O194" i="13"/>
  <c r="O198" i="13"/>
  <c r="O479" i="13"/>
  <c r="O298" i="13"/>
  <c r="O426" i="13"/>
  <c r="O492" i="13"/>
  <c r="O512" i="13"/>
  <c r="O116" i="13"/>
  <c r="O117" i="13"/>
  <c r="O118" i="13"/>
  <c r="O119" i="13"/>
  <c r="O120" i="13"/>
  <c r="O121" i="13"/>
  <c r="O360" i="13"/>
  <c r="O368" i="13"/>
  <c r="O415" i="13"/>
  <c r="O423" i="13"/>
  <c r="O431" i="13"/>
  <c r="O441" i="13"/>
  <c r="O452" i="13"/>
  <c r="O460" i="13"/>
  <c r="O469" i="13"/>
  <c r="O478" i="13"/>
  <c r="O487" i="13"/>
  <c r="O498" i="13"/>
  <c r="O507" i="13"/>
  <c r="O517" i="13"/>
  <c r="O123" i="13"/>
  <c r="O124" i="13"/>
  <c r="O125" i="13"/>
  <c r="O126" i="13"/>
  <c r="O127" i="13"/>
  <c r="O128" i="13"/>
  <c r="O129" i="13"/>
  <c r="O130" i="13"/>
  <c r="O131" i="13"/>
  <c r="O132" i="13"/>
  <c r="O133" i="13"/>
  <c r="O134" i="13"/>
  <c r="O135" i="13"/>
  <c r="O136" i="13"/>
  <c r="O137" i="13"/>
  <c r="O138" i="13"/>
  <c r="O139" i="13"/>
  <c r="O140" i="13"/>
  <c r="O141" i="13"/>
  <c r="O142" i="13"/>
  <c r="O143" i="13"/>
  <c r="O144" i="13"/>
  <c r="O145" i="13"/>
  <c r="O146" i="13"/>
  <c r="O147" i="13"/>
  <c r="O148" i="13"/>
  <c r="O149" i="13"/>
  <c r="O150" i="13"/>
  <c r="O151" i="13"/>
  <c r="O152" i="13"/>
  <c r="O212" i="13"/>
  <c r="O218" i="13"/>
  <c r="O252" i="13"/>
  <c r="O265" i="13"/>
  <c r="O306" i="13"/>
  <c r="O358" i="13"/>
  <c r="O292" i="13"/>
  <c r="O411" i="13"/>
  <c r="O473" i="13"/>
  <c r="O322" i="13"/>
  <c r="O438" i="13"/>
  <c r="O153" i="13"/>
  <c r="O154" i="13"/>
  <c r="O155" i="13"/>
  <c r="O156" i="13"/>
  <c r="O157" i="13"/>
  <c r="O158" i="13"/>
  <c r="O159" i="13"/>
  <c r="O160" i="13"/>
  <c r="O161" i="13"/>
  <c r="O162" i="13"/>
  <c r="O163" i="13"/>
  <c r="O164" i="13"/>
  <c r="O165" i="13"/>
  <c r="O166" i="13"/>
  <c r="O167" i="13"/>
  <c r="O168" i="13"/>
  <c r="O169" i="13"/>
  <c r="O170" i="13"/>
  <c r="O171" i="13"/>
  <c r="O202" i="13"/>
  <c r="O204" i="13"/>
  <c r="O206" i="13"/>
  <c r="O208" i="13"/>
  <c r="O210" i="13"/>
  <c r="O214" i="13"/>
  <c r="O245" i="13"/>
  <c r="O260" i="13"/>
  <c r="O300" i="13"/>
  <c r="O316" i="13"/>
  <c r="O422" i="13"/>
  <c r="O457" i="13"/>
  <c r="O477" i="13"/>
  <c r="O500" i="13"/>
  <c r="O523" i="13"/>
  <c r="O175" i="13"/>
  <c r="O179" i="13"/>
  <c r="O183" i="13"/>
  <c r="O187" i="13"/>
  <c r="O191" i="13"/>
  <c r="O195" i="13"/>
  <c r="O199" i="13"/>
  <c r="O293" i="13"/>
  <c r="O315" i="13"/>
  <c r="O455" i="13"/>
  <c r="O320" i="13"/>
  <c r="O449" i="13"/>
  <c r="O405" i="13"/>
  <c r="O410" i="13"/>
  <c r="O413" i="13"/>
  <c r="O419" i="13"/>
  <c r="O491" i="13"/>
  <c r="O420" i="13"/>
  <c r="O521" i="13"/>
  <c r="O522" i="13"/>
  <c r="O200" i="13"/>
  <c r="O201" i="13"/>
  <c r="O203" i="13"/>
  <c r="O205" i="13"/>
  <c r="O207" i="13"/>
  <c r="O209" i="13"/>
  <c r="O211" i="13"/>
  <c r="O213" i="13"/>
  <c r="O215" i="13"/>
  <c r="O217" i="13"/>
  <c r="O220" i="13"/>
  <c r="O243" i="13"/>
  <c r="O246" i="13"/>
  <c r="O248" i="13"/>
  <c r="O251" i="13"/>
  <c r="O253" i="13"/>
  <c r="O256" i="13"/>
  <c r="O258" i="13"/>
  <c r="O261" i="13"/>
  <c r="O263" i="13"/>
  <c r="O266" i="13"/>
  <c r="O270" i="13"/>
  <c r="O299" i="13"/>
  <c r="O301" i="13"/>
  <c r="O305" i="13"/>
  <c r="O307" i="13"/>
  <c r="O311" i="13"/>
  <c r="O314" i="13"/>
  <c r="O317" i="13"/>
  <c r="O356" i="13"/>
  <c r="O359" i="13"/>
  <c r="O364" i="13"/>
  <c r="O367" i="13"/>
  <c r="O323" i="13"/>
  <c r="O412" i="13"/>
  <c r="O407" i="13"/>
  <c r="O424" i="13"/>
  <c r="O429" i="13"/>
  <c r="O430" i="13"/>
  <c r="O437" i="13"/>
  <c r="O440" i="13"/>
  <c r="O447" i="13"/>
  <c r="O453" i="13"/>
  <c r="O459" i="13"/>
  <c r="O463" i="13"/>
  <c r="O485" i="13"/>
  <c r="O304" i="13"/>
  <c r="O435" i="13"/>
  <c r="O501" i="13"/>
  <c r="O493" i="13"/>
  <c r="O488" i="13"/>
  <c r="O496" i="13"/>
  <c r="O503" i="13"/>
  <c r="O509" i="13"/>
  <c r="O514" i="13"/>
  <c r="O520" i="13"/>
  <c r="O221" i="13"/>
  <c r="O222" i="13"/>
  <c r="O223" i="13"/>
  <c r="O224" i="13"/>
  <c r="O225" i="13"/>
  <c r="O226" i="13"/>
  <c r="O227" i="13"/>
  <c r="O228" i="13"/>
  <c r="O229" i="13"/>
  <c r="O230" i="13"/>
  <c r="O231" i="13"/>
  <c r="O232" i="13"/>
  <c r="O233" i="13"/>
  <c r="O234" i="13"/>
  <c r="O235" i="13"/>
  <c r="O236" i="13"/>
  <c r="O237" i="13"/>
  <c r="O238" i="13"/>
  <c r="O239" i="13"/>
  <c r="O240" i="13"/>
  <c r="O241" i="13"/>
  <c r="O244" i="13"/>
  <c r="O249" i="13"/>
  <c r="O254" i="13"/>
  <c r="O259" i="13"/>
  <c r="O264" i="13"/>
  <c r="O269" i="13"/>
  <c r="O302" i="13"/>
  <c r="O308" i="13"/>
  <c r="O313" i="13"/>
  <c r="O319" i="13"/>
  <c r="O363" i="13"/>
  <c r="O409" i="13"/>
  <c r="O418" i="13"/>
  <c r="O427" i="13"/>
  <c r="O432" i="13"/>
  <c r="O442" i="13"/>
  <c r="O451" i="13"/>
  <c r="O461" i="13"/>
  <c r="O471" i="13"/>
  <c r="O480" i="13"/>
  <c r="O489" i="13"/>
  <c r="O499" i="13"/>
  <c r="O506" i="13"/>
  <c r="O515" i="13"/>
  <c r="O25" i="13"/>
  <c r="O271" i="13"/>
  <c r="O272" i="13"/>
  <c r="O273" i="13"/>
  <c r="O274" i="13"/>
  <c r="O275" i="13"/>
  <c r="O276" i="13"/>
  <c r="O277" i="13"/>
  <c r="O278" i="13"/>
  <c r="O279" i="13"/>
  <c r="O280" i="13"/>
  <c r="O281" i="13"/>
  <c r="O282" i="13"/>
  <c r="O283" i="13"/>
  <c r="O284" i="13"/>
  <c r="O285" i="13"/>
  <c r="O286" i="13"/>
  <c r="O287" i="13"/>
  <c r="O288" i="13"/>
  <c r="O289" i="13"/>
  <c r="O290" i="13"/>
  <c r="O291" i="13"/>
  <c r="O294" i="13"/>
  <c r="O310" i="13"/>
  <c r="O444" i="13"/>
  <c r="O511" i="13"/>
  <c r="O324" i="13"/>
  <c r="O74" i="13"/>
  <c r="O325" i="13"/>
  <c r="O326" i="13"/>
  <c r="O327" i="13"/>
  <c r="O328" i="13"/>
  <c r="O329" i="13"/>
  <c r="O330" i="13"/>
  <c r="O331" i="13"/>
  <c r="O332" i="13"/>
  <c r="O333" i="13"/>
  <c r="O334" i="13"/>
  <c r="O335" i="13"/>
  <c r="O336" i="13"/>
  <c r="O337" i="13"/>
  <c r="O338" i="13"/>
  <c r="O339" i="13"/>
  <c r="O340" i="13"/>
  <c r="O341" i="13"/>
  <c r="O342" i="13"/>
  <c r="O343" i="13"/>
  <c r="O344" i="13"/>
  <c r="O345" i="13"/>
  <c r="O346" i="13"/>
  <c r="O347" i="13"/>
  <c r="O348" i="13"/>
  <c r="O349" i="13"/>
  <c r="O350" i="13"/>
  <c r="O351" i="13"/>
  <c r="O352" i="13"/>
  <c r="O353" i="13"/>
  <c r="O354" i="13"/>
  <c r="O361" i="13"/>
  <c r="O406" i="13"/>
  <c r="O414" i="13"/>
  <c r="O421" i="13"/>
  <c r="O428" i="13"/>
  <c r="O433" i="13"/>
  <c r="O448" i="13"/>
  <c r="O458" i="13"/>
  <c r="O465" i="13"/>
  <c r="O475" i="13"/>
  <c r="O484" i="13"/>
  <c r="O494" i="13"/>
  <c r="O505" i="13"/>
  <c r="O516" i="13"/>
  <c r="O369" i="13"/>
  <c r="O370" i="13"/>
  <c r="O371" i="13"/>
  <c r="O372" i="13"/>
  <c r="O373" i="13"/>
  <c r="O374" i="13"/>
  <c r="O375" i="13"/>
  <c r="O376" i="13"/>
  <c r="O377" i="13"/>
  <c r="O378" i="13"/>
  <c r="O379" i="13"/>
  <c r="O380" i="13"/>
  <c r="O381" i="13"/>
  <c r="O382" i="13"/>
  <c r="O383" i="13"/>
  <c r="O384" i="13"/>
  <c r="O385" i="13"/>
  <c r="O386" i="13"/>
  <c r="O387" i="13"/>
  <c r="O388" i="13"/>
  <c r="O389" i="13"/>
  <c r="O390" i="13"/>
  <c r="O391" i="13"/>
  <c r="O392" i="13"/>
  <c r="O393" i="13"/>
  <c r="O394" i="13"/>
  <c r="O395" i="13"/>
  <c r="O396" i="13"/>
  <c r="O397" i="13"/>
  <c r="O398" i="13"/>
  <c r="O399" i="13"/>
  <c r="O400" i="13"/>
  <c r="O401" i="13"/>
  <c r="O402" i="13"/>
  <c r="O403" i="13"/>
  <c r="O404" i="13"/>
  <c r="O408" i="13"/>
  <c r="O416" i="13"/>
  <c r="O425" i="13"/>
  <c r="O434" i="13"/>
  <c r="O443" i="13"/>
  <c r="O454" i="13"/>
  <c r="O468" i="13"/>
  <c r="O481" i="13"/>
  <c r="O502" i="13"/>
  <c r="O267" i="13"/>
  <c r="O524" i="13"/>
  <c r="O26" i="13"/>
  <c r="O27" i="13"/>
  <c r="O28" i="13"/>
  <c r="O29" i="13"/>
  <c r="O30" i="13"/>
  <c r="O31" i="13"/>
  <c r="O32" i="13"/>
  <c r="O33" i="13"/>
  <c r="O34" i="13"/>
  <c r="O35" i="13"/>
  <c r="O36" i="13"/>
  <c r="O37" i="13"/>
  <c r="O38" i="13"/>
  <c r="O39" i="13"/>
  <c r="O40" i="13"/>
  <c r="O41" i="13"/>
  <c r="O42" i="13"/>
  <c r="O43" i="13"/>
  <c r="O44" i="13"/>
  <c r="O46" i="13"/>
  <c r="O47" i="13"/>
  <c r="O49" i="13"/>
  <c r="O51" i="13"/>
  <c r="O53" i="13"/>
  <c r="O55" i="13"/>
  <c r="O57" i="13"/>
  <c r="O59" i="13"/>
  <c r="O61" i="13"/>
  <c r="O63" i="13"/>
  <c r="O65" i="13"/>
  <c r="O67" i="13"/>
  <c r="O69" i="13"/>
  <c r="O71" i="13"/>
  <c r="O73" i="13"/>
  <c r="O88" i="13"/>
  <c r="O91" i="13"/>
  <c r="O94" i="13"/>
  <c r="O97" i="13"/>
  <c r="O100" i="13"/>
  <c r="O103" i="13"/>
  <c r="O106" i="13"/>
  <c r="O109" i="13"/>
  <c r="O112" i="13"/>
  <c r="O115" i="13"/>
  <c r="O247" i="13"/>
  <c r="O257" i="13"/>
  <c r="O297" i="13"/>
  <c r="O312" i="13"/>
  <c r="O362" i="13"/>
  <c r="O445" i="13"/>
  <c r="O466" i="13"/>
  <c r="O490" i="13"/>
  <c r="O510" i="13"/>
  <c r="O172" i="13"/>
  <c r="O176" i="13"/>
  <c r="O180" i="13"/>
  <c r="O184" i="13"/>
  <c r="O189" i="13"/>
  <c r="O193" i="13"/>
  <c r="O197" i="13"/>
  <c r="O474" i="13"/>
  <c r="O296" i="13"/>
  <c r="O365" i="13"/>
  <c r="O417" i="13"/>
  <c r="C14" i="14"/>
  <c r="C27" i="15"/>
  <c r="D31" i="9"/>
  <c r="B14" i="14"/>
  <c r="B27" i="15"/>
  <c r="N253" i="13"/>
  <c r="N73" i="13"/>
  <c r="N275" i="13"/>
  <c r="N26" i="13"/>
  <c r="N27" i="13"/>
  <c r="N28" i="13"/>
  <c r="N29" i="13"/>
  <c r="N30" i="13"/>
  <c r="N31" i="13"/>
  <c r="N32" i="13"/>
  <c r="N33" i="13"/>
  <c r="N34" i="13"/>
  <c r="N35" i="13"/>
  <c r="N36" i="13"/>
  <c r="N37" i="13"/>
  <c r="N38" i="13"/>
  <c r="N39" i="13"/>
  <c r="N40" i="13"/>
  <c r="N41" i="13"/>
  <c r="N42" i="13"/>
  <c r="N43" i="13"/>
  <c r="N44" i="13"/>
  <c r="N45" i="13"/>
  <c r="N46" i="13"/>
  <c r="N47" i="13"/>
  <c r="N48" i="13"/>
  <c r="N49" i="13"/>
  <c r="N50" i="13"/>
  <c r="N51" i="13"/>
  <c r="N52" i="13"/>
  <c r="N53" i="13"/>
  <c r="N54" i="13"/>
  <c r="N55" i="13"/>
  <c r="N56" i="13"/>
  <c r="N57" i="13"/>
  <c r="N58" i="13"/>
  <c r="N59" i="13"/>
  <c r="N60" i="13"/>
  <c r="N61" i="13"/>
  <c r="N62" i="13"/>
  <c r="N63" i="13"/>
  <c r="N64" i="13"/>
  <c r="N65" i="13"/>
  <c r="N66" i="13"/>
  <c r="N67" i="13"/>
  <c r="N69" i="13"/>
  <c r="N72" i="13"/>
  <c r="N198" i="13"/>
  <c r="N202" i="13"/>
  <c r="N206" i="13"/>
  <c r="N210" i="13"/>
  <c r="N214" i="13"/>
  <c r="N218" i="13"/>
  <c r="N502" i="13"/>
  <c r="N75" i="13"/>
  <c r="N76" i="13"/>
  <c r="N77" i="13"/>
  <c r="N78" i="13"/>
  <c r="N79" i="13"/>
  <c r="N80" i="13"/>
  <c r="N81" i="13"/>
  <c r="N82" i="13"/>
  <c r="N83" i="13"/>
  <c r="N84" i="13"/>
  <c r="N85" i="13"/>
  <c r="N86" i="13"/>
  <c r="N87" i="13"/>
  <c r="N88" i="13"/>
  <c r="N89" i="13"/>
  <c r="N90" i="13"/>
  <c r="N91" i="13"/>
  <c r="N92" i="13"/>
  <c r="N93" i="13"/>
  <c r="N94" i="13"/>
  <c r="N95" i="13"/>
  <c r="N96" i="13"/>
  <c r="N97" i="13"/>
  <c r="N98" i="13"/>
  <c r="N99" i="13"/>
  <c r="N100" i="13"/>
  <c r="N101" i="13"/>
  <c r="N102" i="13"/>
  <c r="N103" i="13"/>
  <c r="N104" i="13"/>
  <c r="N105" i="13"/>
  <c r="N106" i="13"/>
  <c r="N107" i="13"/>
  <c r="N108" i="13"/>
  <c r="N109" i="13"/>
  <c r="N110" i="13"/>
  <c r="N111" i="13"/>
  <c r="N112" i="13"/>
  <c r="N113" i="13"/>
  <c r="N114" i="13"/>
  <c r="N115" i="13"/>
  <c r="N116" i="13"/>
  <c r="N117" i="13"/>
  <c r="N118" i="13"/>
  <c r="N119" i="13"/>
  <c r="N271" i="13"/>
  <c r="N219" i="13"/>
  <c r="N278" i="13"/>
  <c r="N468" i="13"/>
  <c r="N474" i="13"/>
  <c r="N68" i="13"/>
  <c r="N71" i="13"/>
  <c r="N120" i="13"/>
  <c r="N121" i="13"/>
  <c r="N187" i="13"/>
  <c r="N190" i="13"/>
  <c r="N193" i="13"/>
  <c r="N197" i="13"/>
  <c r="N201" i="13"/>
  <c r="N205" i="13"/>
  <c r="N209" i="13"/>
  <c r="N213" i="13"/>
  <c r="N217" i="13"/>
  <c r="N501" i="13"/>
  <c r="N123" i="13"/>
  <c r="N124" i="13"/>
  <c r="N125" i="13"/>
  <c r="N126" i="13"/>
  <c r="N127" i="13"/>
  <c r="N128" i="13"/>
  <c r="N129" i="13"/>
  <c r="N130" i="13"/>
  <c r="N131" i="13"/>
  <c r="N132" i="13"/>
  <c r="N133" i="13"/>
  <c r="N134" i="13"/>
  <c r="N135" i="13"/>
  <c r="N136" i="13"/>
  <c r="N137" i="13"/>
  <c r="N138" i="13"/>
  <c r="N139" i="13"/>
  <c r="N140" i="13"/>
  <c r="N141" i="13"/>
  <c r="N142" i="13"/>
  <c r="N143" i="13"/>
  <c r="N144" i="13"/>
  <c r="N145" i="13"/>
  <c r="N146" i="13"/>
  <c r="N147" i="13"/>
  <c r="N148" i="13"/>
  <c r="N149" i="13"/>
  <c r="N150" i="13"/>
  <c r="N151" i="13"/>
  <c r="N152" i="13"/>
  <c r="N153" i="13"/>
  <c r="N154" i="13"/>
  <c r="N155" i="13"/>
  <c r="N156" i="13"/>
  <c r="N157" i="13"/>
  <c r="N158" i="13"/>
  <c r="N159" i="13"/>
  <c r="N160" i="13"/>
  <c r="N161" i="13"/>
  <c r="N162" i="13"/>
  <c r="N194" i="13"/>
  <c r="N200" i="13"/>
  <c r="N208" i="13"/>
  <c r="N216" i="13"/>
  <c r="N507" i="13"/>
  <c r="N171" i="13"/>
  <c r="N173" i="13"/>
  <c r="N175" i="13"/>
  <c r="N177" i="13"/>
  <c r="N179" i="13"/>
  <c r="N181" i="13"/>
  <c r="N183" i="13"/>
  <c r="N186" i="13"/>
  <c r="N192" i="13"/>
  <c r="N199" i="13"/>
  <c r="N207" i="13"/>
  <c r="N215" i="13"/>
  <c r="N220" i="13"/>
  <c r="N222" i="13"/>
  <c r="N224" i="13"/>
  <c r="N226" i="13"/>
  <c r="N260" i="13"/>
  <c r="N265" i="13"/>
  <c r="N269" i="13"/>
  <c r="N272" i="13"/>
  <c r="N274" i="13"/>
  <c r="N277" i="13"/>
  <c r="N280" i="13"/>
  <c r="N473" i="13"/>
  <c r="N163" i="13"/>
  <c r="N164" i="13"/>
  <c r="N165" i="13"/>
  <c r="N166" i="13"/>
  <c r="N167" i="13"/>
  <c r="N168" i="13"/>
  <c r="N169" i="13"/>
  <c r="N185" i="13"/>
  <c r="N188" i="13"/>
  <c r="N191" i="13"/>
  <c r="N196" i="13"/>
  <c r="N204" i="13"/>
  <c r="N212" i="13"/>
  <c r="N266" i="13"/>
  <c r="N170" i="13"/>
  <c r="N172" i="13"/>
  <c r="N174" i="13"/>
  <c r="N176" i="13"/>
  <c r="N178" i="13"/>
  <c r="N180" i="13"/>
  <c r="N182" i="13"/>
  <c r="N184" i="13"/>
  <c r="N189" i="13"/>
  <c r="N195" i="13"/>
  <c r="N203" i="13"/>
  <c r="N211" i="13"/>
  <c r="N264" i="13"/>
  <c r="N221" i="13"/>
  <c r="N223" i="13"/>
  <c r="N225" i="13"/>
  <c r="N258" i="13"/>
  <c r="N261" i="13"/>
  <c r="N263" i="13"/>
  <c r="N268" i="13"/>
  <c r="N227" i="13"/>
  <c r="N228" i="13"/>
  <c r="N229" i="13"/>
  <c r="N230" i="13"/>
  <c r="N231" i="13"/>
  <c r="N232" i="13"/>
  <c r="N233" i="13"/>
  <c r="N234" i="13"/>
  <c r="N235" i="13"/>
  <c r="N236" i="13"/>
  <c r="N237" i="13"/>
  <c r="N238" i="13"/>
  <c r="N239" i="13"/>
  <c r="N240" i="13"/>
  <c r="N241" i="13"/>
  <c r="N242" i="13"/>
  <c r="N243" i="13"/>
  <c r="N244" i="13"/>
  <c r="N245" i="13"/>
  <c r="N246" i="13"/>
  <c r="N247" i="13"/>
  <c r="N248" i="13"/>
  <c r="N249" i="13"/>
  <c r="N250" i="13"/>
  <c r="N251" i="13"/>
  <c r="N252" i="13"/>
  <c r="N438" i="13"/>
  <c r="N254" i="13"/>
  <c r="N255" i="13"/>
  <c r="N273" i="13"/>
  <c r="N257" i="13"/>
  <c r="N259" i="13"/>
  <c r="N262" i="13"/>
  <c r="N506" i="13"/>
  <c r="N270" i="13"/>
  <c r="N267" i="13"/>
  <c r="N276" i="13"/>
  <c r="N279" i="13"/>
  <c r="N469" i="13"/>
  <c r="N281" i="13"/>
  <c r="N282" i="13"/>
  <c r="N283" i="13"/>
  <c r="N284" i="13"/>
  <c r="N285" i="13"/>
  <c r="N286" i="13"/>
  <c r="N287" i="13"/>
  <c r="N288" i="13"/>
  <c r="N289" i="13"/>
  <c r="N290" i="13"/>
  <c r="N291" i="13"/>
  <c r="N292" i="13"/>
  <c r="N293" i="13"/>
  <c r="N294" i="13"/>
  <c r="N295" i="13"/>
  <c r="N296" i="13"/>
  <c r="N297" i="13"/>
  <c r="N298" i="13"/>
  <c r="N299" i="13"/>
  <c r="N300" i="13"/>
  <c r="N301" i="13"/>
  <c r="N302" i="13"/>
  <c r="N303" i="13"/>
  <c r="N304" i="13"/>
  <c r="N305" i="13"/>
  <c r="N306" i="13"/>
  <c r="N307" i="13"/>
  <c r="N308" i="13"/>
  <c r="N309" i="13"/>
  <c r="N310" i="13"/>
  <c r="N311" i="13"/>
  <c r="N312" i="13"/>
  <c r="N313" i="13"/>
  <c r="N314" i="13"/>
  <c r="N315" i="13"/>
  <c r="N353" i="13"/>
  <c r="N355" i="13"/>
  <c r="N357" i="13"/>
  <c r="N359" i="13"/>
  <c r="N361" i="13"/>
  <c r="N363" i="13"/>
  <c r="N496" i="13"/>
  <c r="N504" i="13"/>
  <c r="N316" i="13"/>
  <c r="N317" i="13"/>
  <c r="N318" i="13"/>
  <c r="N319" i="13"/>
  <c r="N320" i="13"/>
  <c r="N321" i="13"/>
  <c r="N322" i="13"/>
  <c r="N323" i="13"/>
  <c r="N324" i="13"/>
  <c r="N362" i="13"/>
  <c r="N500" i="13"/>
  <c r="N365" i="13"/>
  <c r="N367" i="13"/>
  <c r="N369" i="13"/>
  <c r="N371" i="13"/>
  <c r="N373" i="13"/>
  <c r="N375" i="13"/>
  <c r="N377" i="13"/>
  <c r="N379" i="13"/>
  <c r="N404" i="13"/>
  <c r="N407" i="13"/>
  <c r="N410" i="13"/>
  <c r="N491" i="13"/>
  <c r="N325" i="13"/>
  <c r="N326" i="13"/>
  <c r="N327" i="13"/>
  <c r="N328" i="13"/>
  <c r="N329" i="13"/>
  <c r="N330" i="13"/>
  <c r="N331" i="13"/>
  <c r="N332" i="13"/>
  <c r="N333" i="13"/>
  <c r="N334" i="13"/>
  <c r="N335" i="13"/>
  <c r="N336" i="13"/>
  <c r="N337" i="13"/>
  <c r="N338" i="13"/>
  <c r="N339" i="13"/>
  <c r="N340" i="13"/>
  <c r="N341" i="13"/>
  <c r="N342" i="13"/>
  <c r="N343" i="13"/>
  <c r="N344" i="13"/>
  <c r="N345" i="13"/>
  <c r="N346" i="13"/>
  <c r="N347" i="13"/>
  <c r="N348" i="13"/>
  <c r="N349" i="13"/>
  <c r="N350" i="13"/>
  <c r="N351" i="13"/>
  <c r="N352" i="13"/>
  <c r="N354" i="13"/>
  <c r="N356" i="13"/>
  <c r="N358" i="13"/>
  <c r="N360" i="13"/>
  <c r="N494" i="13"/>
  <c r="N364" i="13"/>
  <c r="N366" i="13"/>
  <c r="N368" i="13"/>
  <c r="N370" i="13"/>
  <c r="N372" i="13"/>
  <c r="N374" i="13"/>
  <c r="N376" i="13"/>
  <c r="N378" i="13"/>
  <c r="N403" i="13"/>
  <c r="N406" i="13"/>
  <c r="N408" i="13"/>
  <c r="N487" i="13"/>
  <c r="N495" i="13"/>
  <c r="N508" i="13"/>
  <c r="N413" i="13"/>
  <c r="N415" i="13"/>
  <c r="N417" i="13"/>
  <c r="N419" i="13"/>
  <c r="N421" i="13"/>
  <c r="N423" i="13"/>
  <c r="N425" i="13"/>
  <c r="N470" i="13"/>
  <c r="N380" i="13"/>
  <c r="N381" i="13"/>
  <c r="N382" i="13"/>
  <c r="N383" i="13"/>
  <c r="N384" i="13"/>
  <c r="N385" i="13"/>
  <c r="N386" i="13"/>
  <c r="N387" i="13"/>
  <c r="N388" i="13"/>
  <c r="N389" i="13"/>
  <c r="N390" i="13"/>
  <c r="N391" i="13"/>
  <c r="N392" i="13"/>
  <c r="N393" i="13"/>
  <c r="N394" i="13"/>
  <c r="N395" i="13"/>
  <c r="N396" i="13"/>
  <c r="N397" i="13"/>
  <c r="N398" i="13"/>
  <c r="N399" i="13"/>
  <c r="N400" i="13"/>
  <c r="N401" i="13"/>
  <c r="N402" i="13"/>
  <c r="N405" i="13"/>
  <c r="N409" i="13"/>
  <c r="N411" i="13"/>
  <c r="N499" i="13"/>
  <c r="N412" i="13"/>
  <c r="N414" i="13"/>
  <c r="N416" i="13"/>
  <c r="N418" i="13"/>
  <c r="N420" i="13"/>
  <c r="N422" i="13"/>
  <c r="N424" i="13"/>
  <c r="N426" i="13"/>
  <c r="N471" i="13"/>
  <c r="N427" i="13"/>
  <c r="N428" i="13"/>
  <c r="N429" i="13"/>
  <c r="N430" i="13"/>
  <c r="N431" i="13"/>
  <c r="N432" i="13"/>
  <c r="N433" i="13"/>
  <c r="N434" i="13"/>
  <c r="N435" i="13"/>
  <c r="N436" i="13"/>
  <c r="N437" i="13"/>
  <c r="N439" i="13"/>
  <c r="N440" i="13"/>
  <c r="N441" i="13"/>
  <c r="N442" i="13"/>
  <c r="N443" i="13"/>
  <c r="N444" i="13"/>
  <c r="N445" i="13"/>
  <c r="N446" i="13"/>
  <c r="N447" i="13"/>
  <c r="N448" i="13"/>
  <c r="N450" i="13"/>
  <c r="N451" i="13"/>
  <c r="N452" i="13"/>
  <c r="N453" i="13"/>
  <c r="N454" i="13"/>
  <c r="N455" i="13"/>
  <c r="N456" i="13"/>
  <c r="N457" i="13"/>
  <c r="N458" i="13"/>
  <c r="N459" i="13"/>
  <c r="N460" i="13"/>
  <c r="N483" i="13"/>
  <c r="N485" i="13"/>
  <c r="N489" i="13"/>
  <c r="N492" i="13"/>
  <c r="N497" i="13"/>
  <c r="N505" i="13"/>
  <c r="N461" i="13"/>
  <c r="N462" i="13"/>
  <c r="N463" i="13"/>
  <c r="N464" i="13"/>
  <c r="N465" i="13"/>
  <c r="N466" i="13"/>
  <c r="N467" i="13"/>
  <c r="N472" i="13"/>
  <c r="N475" i="13"/>
  <c r="N476" i="13"/>
  <c r="N477" i="13"/>
  <c r="N478" i="13"/>
  <c r="N479" i="13"/>
  <c r="N480" i="13"/>
  <c r="N481" i="13"/>
  <c r="N482" i="13"/>
  <c r="N484" i="13"/>
  <c r="N486" i="13"/>
  <c r="N490" i="13"/>
  <c r="N493" i="13"/>
  <c r="N498" i="13"/>
  <c r="N503" i="13"/>
  <c r="N509" i="13"/>
  <c r="N510" i="13"/>
  <c r="N511" i="13"/>
  <c r="N512" i="13"/>
  <c r="N513" i="13"/>
  <c r="N514" i="13"/>
  <c r="N515" i="13"/>
  <c r="N516" i="13"/>
  <c r="N517" i="13"/>
  <c r="N518" i="13"/>
  <c r="N519" i="13"/>
  <c r="N520" i="13"/>
  <c r="N521" i="13"/>
  <c r="N522" i="13"/>
  <c r="N523" i="13"/>
  <c r="N524" i="13"/>
  <c r="N25" i="13"/>
  <c r="N449" i="13"/>
  <c r="N488" i="13"/>
  <c r="N74" i="13"/>
  <c r="N122" i="13"/>
  <c r="N70" i="13"/>
  <c r="N256" i="13"/>
  <c r="B50" i="9"/>
  <c r="B9" i="13"/>
  <c r="D9" i="13"/>
  <c r="C9" i="13"/>
  <c r="B50" i="10"/>
  <c r="D10" i="13"/>
  <c r="B10" i="13"/>
  <c r="C10" i="13"/>
  <c r="D31" i="10"/>
  <c r="E31" i="10" s="1"/>
  <c r="F31" i="10" s="1"/>
  <c r="G31" i="10" s="1"/>
  <c r="H31" i="10" s="1"/>
  <c r="I31" i="10" s="1"/>
  <c r="J31" i="10" s="1"/>
  <c r="K31" i="10" s="1"/>
  <c r="L31" i="10" s="1"/>
  <c r="M31" i="10" s="1"/>
  <c r="N31" i="10" s="1"/>
  <c r="O31" i="10" s="1"/>
  <c r="C34" i="14" l="1"/>
  <c r="C31" i="15"/>
  <c r="E31" i="9"/>
  <c r="F31" i="9" s="1"/>
  <c r="G31" i="9" s="1"/>
  <c r="H31" i="9" s="1"/>
  <c r="I31" i="9" s="1"/>
  <c r="J31" i="9" s="1"/>
  <c r="K31" i="9" s="1"/>
  <c r="L31" i="9" s="1"/>
  <c r="M31" i="9" s="1"/>
  <c r="N31" i="9" s="1"/>
  <c r="O31" i="9" s="1"/>
  <c r="P31" i="9" s="1"/>
  <c r="Q31" i="9" s="1"/>
  <c r="R31" i="9" s="1"/>
  <c r="S31" i="9" s="1"/>
  <c r="T31" i="9" s="1"/>
  <c r="U31" i="9" s="1"/>
  <c r="V31" i="9" s="1"/>
  <c r="W31" i="9" s="1"/>
  <c r="X31" i="9" s="1"/>
  <c r="Y31" i="9" s="1"/>
  <c r="Z31" i="9" s="1"/>
  <c r="B42" i="9"/>
  <c r="B16" i="14" s="1"/>
  <c r="B31" i="15"/>
  <c r="B34" i="14"/>
  <c r="C21" i="13"/>
  <c r="C30" i="15" s="1"/>
  <c r="C18" i="13"/>
  <c r="C20" i="13"/>
  <c r="C26" i="14" s="1"/>
  <c r="C16" i="13"/>
  <c r="C24" i="14" s="1"/>
  <c r="C17" i="13"/>
  <c r="C19" i="13"/>
  <c r="C25" i="14" s="1"/>
  <c r="D12" i="13"/>
  <c r="C29" i="15"/>
  <c r="C23" i="14"/>
  <c r="B12" i="13"/>
  <c r="C28" i="15"/>
  <c r="C21" i="14"/>
  <c r="C12" i="13"/>
  <c r="C22" i="14"/>
  <c r="B21" i="13"/>
  <c r="B30" i="15" s="1"/>
  <c r="B19" i="13"/>
  <c r="B25" i="14" s="1"/>
  <c r="B17" i="13"/>
  <c r="B20" i="13"/>
  <c r="B26" i="14" s="1"/>
  <c r="B18" i="13"/>
  <c r="B16" i="13"/>
  <c r="B24" i="14" s="1"/>
  <c r="B11" i="13"/>
  <c r="B28" i="15"/>
  <c r="B21" i="14"/>
  <c r="D11" i="13"/>
  <c r="B29" i="15"/>
  <c r="B23" i="14"/>
  <c r="C11" i="13"/>
  <c r="B22" i="14"/>
  <c r="P31" i="10"/>
  <c r="Q31" i="10" s="1"/>
  <c r="R31" i="10" s="1"/>
  <c r="S31" i="10" s="1"/>
  <c r="T31" i="10" s="1"/>
  <c r="U31" i="10" s="1"/>
  <c r="V31" i="10" s="1"/>
  <c r="W31" i="10" s="1"/>
  <c r="X31" i="10" s="1"/>
  <c r="Y31" i="10" s="1"/>
  <c r="Z31" i="10" s="1"/>
  <c r="B42" i="10"/>
  <c r="C16" i="14" s="1"/>
  <c r="C27" i="14" l="1"/>
  <c r="B27" i="14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<sst xmlns="http://schemas.openxmlformats.org/spreadsheetml/2006/main" count="1323" uniqueCount="566">
  <si>
    <t>Summary - Pirelli vs Hankook</t>
  </si>
  <si>
    <t>(Valuation at 31/12/2024; per-share values in € and ₩; projects in USD m)</t>
  </si>
  <si>
    <t>Cost of Capital</t>
  </si>
  <si>
    <t>Pirelli</t>
  </si>
  <si>
    <t>Hankook</t>
  </si>
  <si>
    <t>Unit</t>
  </si>
  <si>
    <t>Reading</t>
  </si>
  <si>
    <t>percentage</t>
  </si>
  <si>
    <t>WACC</t>
  </si>
  <si>
    <t>Gap driven by country risk (Italy vs Korea) and leverage</t>
  </si>
  <si>
    <t>Valuation per Share</t>
  </si>
  <si>
    <t>DCF</t>
  </si>
  <si>
    <t>€ - ₩ / share</t>
  </si>
  <si>
    <t>Intrinsic value under our assumptions (upper bound)</t>
  </si>
  <si>
    <t>Comparative (sector multiples)</t>
  </si>
  <si>
    <t>Market-based value (lower bound)</t>
  </si>
  <si>
    <t>Market price (30/12/2024)</t>
  </si>
  <si>
    <t>Pirelli priced like the sector; Hankook at a company-specific discount</t>
  </si>
  <si>
    <t>EV/EBITDA</t>
  </si>
  <si>
    <t>Sector</t>
  </si>
  <si>
    <t>x</t>
  </si>
  <si>
    <t>Market</t>
  </si>
  <si>
    <t>DCF above sector: market expects lower cash flows</t>
  </si>
  <si>
    <t>Investment Projects</t>
  </si>
  <si>
    <t>Project</t>
  </si>
  <si>
    <t>text</t>
  </si>
  <si>
    <t>NPV (base case)</t>
  </si>
  <si>
    <t>USD m</t>
  </si>
  <si>
    <t>Pirelli creates value; Hankook does not cover its cost of capital</t>
  </si>
  <si>
    <t>IRR</t>
  </si>
  <si>
    <t>Global IRR (reinvestment at WACC)</t>
  </si>
  <si>
    <t>Pirelli stays above its WACC even with reinvestment at the WACC</t>
  </si>
  <si>
    <t>WACC (hurdle rate)</t>
  </si>
  <si>
    <t>Profitability index</t>
  </si>
  <si>
    <t>number</t>
  </si>
  <si>
    <t>NPV - downside scenario</t>
  </si>
  <si>
    <t>NPV - upside scenario</t>
  </si>
  <si>
    <t>Probability of NPV &lt; 0 (simulation)</t>
  </si>
  <si>
    <t>Hankook project fragile: needs the upside to create value</t>
  </si>
  <si>
    <t>Security Index (Financial Break-Even)</t>
  </si>
  <si>
    <t>Pirelli's sales can fall 34% before NPV &lt; 0; Hankook is already below break-even</t>
  </si>
  <si>
    <t>NAV</t>
  </si>
  <si>
    <t>Book NAV per Share</t>
  </si>
  <si>
    <t>Adjusted NAV per Share</t>
  </si>
  <si>
    <t>Hanon Systems stake at market value</t>
  </si>
  <si>
    <t>Price / Adjusted NAV</t>
  </si>
  <si>
    <t>Pirelli at its net assets; Hankook at less than half</t>
  </si>
  <si>
    <t>Adjusted NAV vs book NAV</t>
  </si>
  <si>
    <t>Market Inputs – December 31st 2024</t>
  </si>
  <si>
    <t>Input</t>
  </si>
  <si>
    <t>Source / Notes</t>
  </si>
  <si>
    <t>Risk-free (10Y German Bund, 31/12/24)</t>
  </si>
  <si>
    <t>Mature-market equity risk premium</t>
  </si>
  <si>
    <t>Country risk premium - equity (country of domicile)</t>
  </si>
  <si>
    <t>Country default spread (info only)</t>
  </si>
  <si>
    <t>Credit rating (at 31/12/24)</t>
  </si>
  <si>
    <t>Fitch BBB (stable) / S&amp;P BBB- (positive)</t>
  </si>
  <si>
    <t>Moody's Baa2 (stable)</t>
  </si>
  <si>
    <t>/</t>
  </si>
  <si>
    <t>Default spread for the rating (lower rating if split)</t>
  </si>
  <si>
    <t>Shares Outstanding</t>
  </si>
  <si>
    <t>millions</t>
  </si>
  <si>
    <t>Closing price (at 30/12/24) (last trading day 2024)</t>
  </si>
  <si>
    <t>€ / KRW</t>
  </si>
  <si>
    <t>FX used (KRW per €)</t>
  </si>
  <si>
    <t>KRW / €</t>
  </si>
  <si>
    <t>FX spot (at 31/12/24) (info only)</t>
  </si>
  <si>
    <t>Assumption: terminal growth rate g</t>
  </si>
  <si>
    <t>Model assumption</t>
  </si>
  <si>
    <t>Market values</t>
  </si>
  <si>
    <t>Market capitalisation (at 30/12/24)</t>
  </si>
  <si>
    <t>€m / KRWm (millions)</t>
  </si>
  <si>
    <t>price * Share Outstanding</t>
  </si>
  <si>
    <t>Market value of equity</t>
  </si>
  <si>
    <t>k€</t>
  </si>
  <si>
    <t>converted to k€</t>
  </si>
  <si>
    <t>CAPM Inputs</t>
  </si>
  <si>
    <t>Market risk premium PRm (mature + country)</t>
  </si>
  <si>
    <t>Asset (unlevered) beta</t>
  </si>
  <si>
    <t>Assumption: debt beta</t>
  </si>
  <si>
    <t>Assumption: debt beta = 0 (investment-grade debt)</t>
  </si>
  <si>
    <t>Corporate tax rate T (effective 2024)</t>
  </si>
  <si>
    <t xml:space="preserve">No-tax Check Inputs </t>
  </si>
  <si>
    <t>Industry levered beta (for no-tax check)</t>
  </si>
  <si>
    <t>Industry D/E ratio (for no-tax check)</t>
  </si>
  <si>
    <t>Industry cash / firm value (for no-tax check)</t>
  </si>
  <si>
    <t>Historical Data 2022-2024</t>
  </si>
  <si>
    <t>Sources</t>
  </si>
  <si>
    <t>Revenues</t>
  </si>
  <si>
    <t>Annual Report 2024 &amp; 2023, Consolidated Income Statement</t>
  </si>
  <si>
    <t>Audit Report 2024 (p.9) &amp; 2023 (p.6), Statement of profit or loss</t>
  </si>
  <si>
    <t>EBIT (operating income)</t>
  </si>
  <si>
    <t>Depreciation &amp; Amortisation</t>
  </si>
  <si>
    <t>Capex (tangible + intangible)</t>
  </si>
  <si>
    <t>Annual Report 2024 &amp; 2023, Consolidated Cash Flow Statement</t>
  </si>
  <si>
    <t>Audit Report 2024 (pp. 12-13) &amp; 2023 (p.8), Statement of cash flows</t>
  </si>
  <si>
    <t>Inventories</t>
  </si>
  <si>
    <t>Annual Report 2024 &amp; 2023, Consolidated Statement of Financial Position</t>
  </si>
  <si>
    <t>Audit Report 2024 (pp. 7-8) &amp; 2023 (p. 5), Statement of financial position</t>
  </si>
  <si>
    <t>Trade receivables</t>
  </si>
  <si>
    <t>Trade payables</t>
  </si>
  <si>
    <t>WCR</t>
  </si>
  <si>
    <t>Financial Debt</t>
  </si>
  <si>
    <t>Cash &amp; short-term financial investments</t>
  </si>
  <si>
    <t>Investments in associates</t>
  </si>
  <si>
    <t>Total Equity (incl. minorities)</t>
  </si>
  <si>
    <t>Audit Report 2024 (pp. 8), Statement of financial position</t>
  </si>
  <si>
    <t>Ratios</t>
  </si>
  <si>
    <t>Revenue growth</t>
  </si>
  <si>
    <t>EBIT Margin</t>
  </si>
  <si>
    <t>D&amp;A % revenue</t>
  </si>
  <si>
    <t>Capex % revenue</t>
  </si>
  <si>
    <t>WCR % revenue</t>
  </si>
  <si>
    <t>Weighted Average Cost of Capital - 31/12/2024 (EUR)</t>
  </si>
  <si>
    <t>Capital Structure (market values)</t>
  </si>
  <si>
    <t>Relevant Informations / Formulas</t>
  </si>
  <si>
    <t>Market Value of Equity (Ve)</t>
  </si>
  <si>
    <t>Share price × Shares outstanding (30/12/2024)</t>
  </si>
  <si>
    <t>Financial Debt (Vfd)</t>
  </si>
  <si>
    <t>Borrowings (current + non-current) (31/12/2024)</t>
  </si>
  <si>
    <t>Leverage Vfd/Ve</t>
  </si>
  <si>
    <t>Vfd / Ve</t>
  </si>
  <si>
    <t>Cost of Equity (CAPM)</t>
  </si>
  <si>
    <t>Asset beta</t>
  </si>
  <si>
    <t>Damodaran, Rubber &amp; Tires, unlevered with taxes and corrected for cash</t>
  </si>
  <si>
    <t>Debt beta</t>
  </si>
  <si>
    <t>Investment-grade debt assumed risk-free</t>
  </si>
  <si>
    <t>Equity beta</t>
  </si>
  <si>
    <t>βe = βa + (βa − βfd) × (1 - T) × Vfd/Ve</t>
  </si>
  <si>
    <t>Risk-free rate</t>
  </si>
  <si>
    <t>10Y German Bond</t>
  </si>
  <si>
    <t>Market risk premium</t>
  </si>
  <si>
    <t>PRm = Mature market ERP + Country risk premium</t>
  </si>
  <si>
    <t>Re</t>
  </si>
  <si>
    <t>CAPM: Re = Rf + βe × PRm</t>
  </si>
  <si>
    <t>Cost of Debt</t>
  </si>
  <si>
    <t>Rd (pre-tax)</t>
  </si>
  <si>
    <t>Rf + default spread for the credit rating</t>
  </si>
  <si>
    <t>Tax rate</t>
  </si>
  <si>
    <t>Effective tax rate 2024</t>
  </si>
  <si>
    <t>Rd (after tax)</t>
  </si>
  <si>
    <t>Rd × (1 - T)</t>
  </si>
  <si>
    <t>Weighted Average Cost of Capital</t>
  </si>
  <si>
    <t>Weight of Equity - Ve/(Ve+Vfd)</t>
  </si>
  <si>
    <t>Ve / (Ve + Vfd)</t>
  </si>
  <si>
    <t>Weight of Debt - Vfd/(Ve+Vfd)</t>
  </si>
  <si>
    <t>Vfd / (Ve + Vfd)</t>
  </si>
  <si>
    <t>WACC = Re × Ve/V + Rd × Vfd/V × (1 - T)</t>
  </si>
  <si>
    <t>Check - relevering without taxes</t>
  </si>
  <si>
    <t>Damodaran's industry beta is unlevered with taxes, so the base case relevers with taxes to stay consistent with the source. As a check, we also run the calculation without taxes, as in the</t>
  </si>
  <si>
    <t>course material, applying it consistently to both unlevering and relevering. Since all other inputs are unchanged, any difference comes only from the beta convention: the WACC</t>
  </si>
  <si>
    <t>moves by less than 0.1 pp, confirming the estimate is robust.</t>
  </si>
  <si>
    <t>Cost of Equity - no tax relevering</t>
  </si>
  <si>
    <t>Asset beta (no tax)</t>
  </si>
  <si>
    <t>βa = β / (1 + D/E) / (1 − Cash/Firm value)</t>
  </si>
  <si>
    <t>Equity beta (no tax)</t>
  </si>
  <si>
    <t>βe = βa + (βa − βfd) × Vfd/Ve</t>
  </si>
  <si>
    <t>Re (no tax)</t>
  </si>
  <si>
    <t>WACC (no tax)</t>
  </si>
  <si>
    <t>WACC = Re × Ve/V + Rd × Vfd/V</t>
  </si>
  <si>
    <t>Difference vs base case</t>
  </si>
  <si>
    <t>WACC (no tax) - WACC</t>
  </si>
  <si>
    <t>DCF Valuation - Pirelli (k€) - 31/12/2024</t>
  </si>
  <si>
    <t>Assumption</t>
  </si>
  <si>
    <t>2024A</t>
  </si>
  <si>
    <t>2025E</t>
  </si>
  <si>
    <t>2026E</t>
  </si>
  <si>
    <t>2027E</t>
  </si>
  <si>
    <t>2028E</t>
  </si>
  <si>
    <t>2029E</t>
  </si>
  <si>
    <t>Assumption: inflation + premium mix (high value strategy)</t>
  </si>
  <si>
    <t>Assumption: 2024 margin held constant</t>
  </si>
  <si>
    <t>Assumption: converges to capex by 2029 (steady state)</t>
  </si>
  <si>
    <t>Assumption: in line with 2023-24</t>
  </si>
  <si>
    <t>WCR held at 2024 % of revenue</t>
  </si>
  <si>
    <t>Free Cash Flow</t>
  </si>
  <si>
    <t>(discount year)</t>
  </si>
  <si>
    <t>EBITDA</t>
  </si>
  <si>
    <t>EBIT margin + D&amp;A %</t>
  </si>
  <si>
    <t>- D&amp;A</t>
  </si>
  <si>
    <t>EBIT</t>
  </si>
  <si>
    <t>- Taxes</t>
  </si>
  <si>
    <t>Tax on EBIT</t>
  </si>
  <si>
    <t>+ D&amp;A</t>
  </si>
  <si>
    <t>Non-cash cost added back</t>
  </si>
  <si>
    <t>OCF</t>
  </si>
  <si>
    <t>EBIT - Taxes + D&amp;A (= SFC)</t>
  </si>
  <si>
    <t>- Capex</t>
  </si>
  <si>
    <t>Inventories + Trade receivables - Trade payables</t>
  </si>
  <si>
    <t>- Change in WCR</t>
  </si>
  <si>
    <t>FCF = OCF - Capex -ΔWCR</t>
  </si>
  <si>
    <t>Discount factor</t>
  </si>
  <si>
    <t>1/(1+WACC)^t</t>
  </si>
  <si>
    <t>PV(FCF)</t>
  </si>
  <si>
    <t>Valuation</t>
  </si>
  <si>
    <t>Terminal growth rate</t>
  </si>
  <si>
    <t>ROIC 2024</t>
  </si>
  <si>
    <t>NOPAT / (Equity + debt - cash - associates)</t>
  </si>
  <si>
    <t>Reinvestment rate</t>
  </si>
  <si>
    <t>g / ROIC</t>
  </si>
  <si>
    <t>Terminal FCF (2030)</t>
  </si>
  <si>
    <t>NOPAT 2030 × (1 - reinvestment rate)</t>
  </si>
  <si>
    <t>Terminal Value (2029)</t>
  </si>
  <si>
    <t>TV = Terminal FCF (WACC-g)</t>
  </si>
  <si>
    <t>PV(TV)</t>
  </si>
  <si>
    <t>TV × discount factor 2029</t>
  </si>
  <si>
    <t>sum of PV(FCF)</t>
  </si>
  <si>
    <t>Enterprise Value</t>
  </si>
  <si>
    <t>EV = PV(TV) + sum of PV(FCF)</t>
  </si>
  <si>
    <t>TV % of EV</t>
  </si>
  <si>
    <t>- Financial Debt</t>
  </si>
  <si>
    <t>+ Cash &amp; ST investments</t>
  </si>
  <si>
    <t>+ Investments in associates</t>
  </si>
  <si>
    <t>Equity Value</t>
  </si>
  <si>
    <t>EV - Debt + Cash + Associates</t>
  </si>
  <si>
    <t>Shares outstanding (m)</t>
  </si>
  <si>
    <t>Value per Share (€)</t>
  </si>
  <si>
    <t>€ / share</t>
  </si>
  <si>
    <t>Equity Value / Shares outstanding</t>
  </si>
  <si>
    <t>Market price 30/12/2024 (€)</t>
  </si>
  <si>
    <t>Upside / (downside)</t>
  </si>
  <si>
    <t>Sensitivity - Value per Share (€)</t>
  </si>
  <si>
    <t>WACC / g</t>
  </si>
  <si>
    <t>DCF Valuation - Hankook (k€) - 31/12/2024</t>
  </si>
  <si>
    <t>Assumption: same as Pirelli; premium 18" + mix and US plant ramp-up</t>
  </si>
  <si>
    <t>Assumption: 2024 margin (18.7%) exceptional; fades to 2022-24 average (~14%)</t>
  </si>
  <si>
    <t>Assumption: rises with the 2024-26 capex program</t>
  </si>
  <si>
    <t>Assumption: 2024 capex elevated by US Tennessee expansion; normalises to D&amp;A by 2029</t>
  </si>
  <si>
    <t>Value per Share (KRW)</t>
  </si>
  <si>
    <t>₩ / share</t>
  </si>
  <si>
    <t xml:space="preserve">Equity Value / Shares outstanding (N.B.: equity value converted to KRW at the same FX rate used for the financial statements) </t>
  </si>
  <si>
    <t>Market price 30/12/2024 (KRW)</t>
  </si>
  <si>
    <t>Sensitivity - Value per Share (KRW)</t>
  </si>
  <si>
    <t>Comparative Valuation - Sector Multiples (FY2024)</t>
  </si>
  <si>
    <t>(Aggregates in k€; Hankook per-share values in ₩)</t>
  </si>
  <si>
    <t>Sector Multiples - Rubber &amp; Tires (Global)</t>
  </si>
  <si>
    <t>P/E</t>
  </si>
  <si>
    <t>P/B</t>
  </si>
  <si>
    <t>Company Data 2024</t>
  </si>
  <si>
    <t>EBIT + D&amp;A</t>
  </si>
  <si>
    <t>Net Income (owners)</t>
  </si>
  <si>
    <t>Book Equity (owners)</t>
  </si>
  <si>
    <t>Implied Equity Value</t>
  </si>
  <si>
    <t>From EV/EBITDA</t>
  </si>
  <si>
    <t>EV/EBITDA × EBITDA - debt + cash + associates</t>
  </si>
  <si>
    <t>From P/E</t>
  </si>
  <si>
    <t>P/E × net income</t>
  </si>
  <si>
    <t>From P/B</t>
  </si>
  <si>
    <t>P/B × book equity</t>
  </si>
  <si>
    <t>Value per Share</t>
  </si>
  <si>
    <t>Comparative (average)</t>
  </si>
  <si>
    <t>Simple average of the three multiples</t>
  </si>
  <si>
    <t>Patrimonial (Book Value)</t>
  </si>
  <si>
    <t>Book equity / shares</t>
  </si>
  <si>
    <t>Market Price</t>
  </si>
  <si>
    <t>Implied Multiples: Market vs DCF</t>
  </si>
  <si>
    <t>Source/Notes</t>
  </si>
  <si>
    <t>EV/EBITDA - Market</t>
  </si>
  <si>
    <t>(Market cap + debt - cash) / EBITDA</t>
  </si>
  <si>
    <t>EV/EBITDA - DCF</t>
  </si>
  <si>
    <t>(DCF EV + associates) / EBITDA</t>
  </si>
  <si>
    <t>P/E - Market</t>
  </si>
  <si>
    <t>P/B - Market</t>
  </si>
  <si>
    <t>NAV Valuation</t>
  </si>
  <si>
    <t>(Adjusted Net Asset Value = adjusted assets - adjusted liabilities; attributable to owners after non-controlling interests)</t>
  </si>
  <si>
    <t>Balance Sheet Data 2024</t>
  </si>
  <si>
    <t>Total assets</t>
  </si>
  <si>
    <t>Total liabilities</t>
  </si>
  <si>
    <t>Non-controlling interests</t>
  </si>
  <si>
    <t>Book Equity attributable to owners</t>
  </si>
  <si>
    <t>Assets - liabilities - non-controlling interests</t>
  </si>
  <si>
    <t>Check vs Multiples</t>
  </si>
  <si>
    <t>Check: must be = 0</t>
  </si>
  <si>
    <t>Adjustments (due diligence)</t>
  </si>
  <si>
    <t>Hanon Systems shares held (m)</t>
  </si>
  <si>
    <t>Hanon share price, year-end proxy (₩)</t>
  </si>
  <si>
    <t>Market value of quoted stake</t>
  </si>
  <si>
    <t>Shares held × share price, converted at ₩1,475.40/€</t>
  </si>
  <si>
    <t>Carrying amount of the stake</t>
  </si>
  <si>
    <t>Adjustment to assets: quoted securities at market</t>
  </si>
  <si>
    <t>Quoted securities at market value, as in the course exercise (Pacific Industrial)</t>
  </si>
  <si>
    <t>Adjustment to liabilities</t>
  </si>
  <si>
    <t>No hidden liability identified: pensions, provisions and deferred taxes already recognised under IFRS</t>
  </si>
  <si>
    <t>Adjusted NAV</t>
  </si>
  <si>
    <t>Adjusted assets</t>
  </si>
  <si>
    <t>Total assets + Asset adjustments</t>
  </si>
  <si>
    <t>Adjusted liabilities</t>
  </si>
  <si>
    <t>Total liabilities + Liability adjustments</t>
  </si>
  <si>
    <t>Adjusted NAV (100%)</t>
  </si>
  <si>
    <t>Adjusted assets - Adjusted liabilities</t>
  </si>
  <si>
    <t>- Non-controlling interests</t>
  </si>
  <si>
    <t>Minority shareholders' portion of equity</t>
  </si>
  <si>
    <t>Adjusted NAV attributable to owners</t>
  </si>
  <si>
    <t>Adjusted NAV - non-controlling interests</t>
  </si>
  <si>
    <t>NAV per Share</t>
  </si>
  <si>
    <t>Shares outstanding</t>
  </si>
  <si>
    <t>Summary - Cost of Capital and Valuation (31/12/2024)</t>
  </si>
  <si>
    <t>Market Inputs</t>
  </si>
  <si>
    <t>Notes</t>
  </si>
  <si>
    <t>Market risk premium (mature + country)</t>
  </si>
  <si>
    <t>Financial debt</t>
  </si>
  <si>
    <t>Cash &amp; ST investments</t>
  </si>
  <si>
    <t>Base case: relevering with taxes</t>
  </si>
  <si>
    <t>WACC - check without taxes</t>
  </si>
  <si>
    <t>Relevering without taxes, as in the course material</t>
  </si>
  <si>
    <t>WACC disclosed by Pirelli (2024)</t>
  </si>
  <si>
    <t>Goodwill impairment test, post-tax</t>
  </si>
  <si>
    <t>DCF Valuation</t>
  </si>
  <si>
    <t>Revenues 2024</t>
  </si>
  <si>
    <t>Drives the reinvestment in the terminal value</t>
  </si>
  <si>
    <t>Sensitivity - minimum value per share</t>
  </si>
  <si>
    <t>WACC ±1 pp, g 1.5-2.5%</t>
  </si>
  <si>
    <t>Sensitivity - maximum value per share</t>
  </si>
  <si>
    <t>Value per Share by Method</t>
  </si>
  <si>
    <t>Comparative - EV/EBITDA</t>
  </si>
  <si>
    <t>Comparative - P/E</t>
  </si>
  <si>
    <t>Comparative - P/B</t>
  </si>
  <si>
    <t>Multiples: Sector vs Market vs DCF</t>
  </si>
  <si>
    <t>EV/EBITDA - sector</t>
  </si>
  <si>
    <t>Damodaran Rubber &amp; Tires (Global)</t>
  </si>
  <si>
    <t>EV/EBITDA - market</t>
  </si>
  <si>
    <t>Adjustment: quoted securities at market</t>
  </si>
  <si>
    <t>Investment Projects - Inputs (USD m)</t>
  </si>
  <si>
    <t>(Ex-ante evaluation: each project is valued at its own decision date. Shaded cells = assumptions)</t>
  </si>
  <si>
    <t>Project Facts</t>
  </si>
  <si>
    <t>Source @ Pirelli</t>
  </si>
  <si>
    <t>Source @ Hankook</t>
  </si>
  <si>
    <t>Rome (Georgia) plant expansion</t>
  </si>
  <si>
    <t>Clarksville (Tennessee) plant expansion</t>
  </si>
  <si>
    <t>Company press releases (see links in column F)</t>
  </si>
  <si>
    <t>Expansion capex</t>
  </si>
  <si>
    <t>Pirelli: USD 1.2bn (about EUR 1bn), Sep 2026; Hankook: USD 1.6bn, Aug 2022</t>
  </si>
  <si>
    <t>First investment year</t>
  </si>
  <si>
    <t>year</t>
  </si>
  <si>
    <t>Pirelli: works 2027-2033; Hankook: groundbreaking early 2023</t>
  </si>
  <si>
    <t>Capacity before expansion</t>
  </si>
  <si>
    <t>m tyres / year</t>
  </si>
  <si>
    <t>Pirelli: about 450.000 tyres/year (City of Rome figures); Hankook: plant capacity since 2017</t>
  </si>
  <si>
    <t>Capacity after expansion</t>
  </si>
  <si>
    <t>Hankook: 11m PCLT + 1m TBR</t>
  </si>
  <si>
    <t>Added capacity - PCLT</t>
  </si>
  <si>
    <t>Passenger car &amp; light truck</t>
  </si>
  <si>
    <t>Added capacity - TBR</t>
  </si>
  <si>
    <t>Truck &amp; bus; Pirelli makes no truck tyres</t>
  </si>
  <si>
    <t>Full capacity reached</t>
  </si>
  <si>
    <t>Pirelli: works completed during 2033, first full year at capacity 2034. Hankook: production from Q4 2024, full capacity early 2026</t>
  </si>
  <si>
    <t>Capex per tyre of added capacity</t>
  </si>
  <si>
    <t>USD / tyre</t>
  </si>
  <si>
    <t>Expansion capex / added capacity</t>
  </si>
  <si>
    <t>Operating Assumptions (base case)</t>
  </si>
  <si>
    <t>Net price per PCLT tyre</t>
  </si>
  <si>
    <t>Assumption: see price cross-check below</t>
  </si>
  <si>
    <t>Net price per TBR tyre</t>
  </si>
  <si>
    <t>Assumption: US truck &amp; bus radial</t>
  </si>
  <si>
    <t>Price base year</t>
  </si>
  <si>
    <t>Year in which the prices above are expressed</t>
  </si>
  <si>
    <t>Price / mix growth</t>
  </si>
  <si>
    <t>Same long-term growth g as the DCF</t>
  </si>
  <si>
    <t>Steady-state utilisation</t>
  </si>
  <si>
    <t>Assumption: in line with Pirelli plant saturation of 86% in 2024 (95% in High Value)</t>
  </si>
  <si>
    <t>EBITDA margin</t>
  </si>
  <si>
    <t>Average 2022-24 (EBIT + D&amp;A) / revenues: through-the-cycle margin</t>
  </si>
  <si>
    <t>Maintenance capex</t>
  </si>
  <si>
    <t>% of revenue</t>
  </si>
  <si>
    <t>Assumption: upkeep of a new plant, below the group ratio of about 6%</t>
  </si>
  <si>
    <t>Depreciation period</t>
  </si>
  <si>
    <t>years</t>
  </si>
  <si>
    <t>Straight line, blended life of buildings and machinery</t>
  </si>
  <si>
    <t>Effective tax rate 2024, as in the DCF</t>
  </si>
  <si>
    <t>WCR held at 2024 % of revenue, as in the DCF</t>
  </si>
  <si>
    <t>Discount rate (WACC)</t>
  </si>
  <si>
    <t>Company WACC: the project has the same risk and financing as the company</t>
  </si>
  <si>
    <t>Evaluation horizon</t>
  </si>
  <si>
    <t>Last year: residual value (net book value) + WCR recovery</t>
  </si>
  <si>
    <t>FX (USD per EUR)</t>
  </si>
  <si>
    <t>USD / EUR</t>
  </si>
  <si>
    <t>ECB reference rate, 2024 annual average</t>
  </si>
  <si>
    <t>Price Cross-check (info only)</t>
  </si>
  <si>
    <t>Value</t>
  </si>
  <si>
    <t>Goodyear Americas net sales 2024</t>
  </si>
  <si>
    <t>Goodyear FY2024 results (link in column F)</t>
  </si>
  <si>
    <t>Goodyear Americas tyre units 2024</t>
  </si>
  <si>
    <t>m tyres</t>
  </si>
  <si>
    <t>Goodyear FY2024 results</t>
  </si>
  <si>
    <t>US peer revenue per tyre</t>
  </si>
  <si>
    <t>Includes some non-tyre revenue</t>
  </si>
  <si>
    <t>Pirelli price vs US peer</t>
  </si>
  <si>
    <t>Premium High Value mix (large rims, Cyber Tyre)</t>
  </si>
  <si>
    <t>Hankook price vs US peer</t>
  </si>
  <si>
    <t>Tier-2 brand positioning</t>
  </si>
  <si>
    <t>Scenarios (same shocks for both projects)</t>
  </si>
  <si>
    <t>Downside</t>
  </si>
  <si>
    <t>Base</t>
  </si>
  <si>
    <t>Upside</t>
  </si>
  <si>
    <t>Price / mix vs base</t>
  </si>
  <si>
    <t>Downside: tariff roll-back and import competition; upside: tariffs stay</t>
  </si>
  <si>
    <t>Utilisation vs base</t>
  </si>
  <si>
    <t>Percentage points added to the steady-state utilisation</t>
  </si>
  <si>
    <t>EBITDA margin vs base</t>
  </si>
  <si>
    <t>Percentage points added to the EBITDA margin</t>
  </si>
  <si>
    <t>Capex overrun</t>
  </si>
  <si>
    <t>Construction cost inflation in the downside</t>
  </si>
  <si>
    <t>Simulation Ranges (uniform distribution)</t>
  </si>
  <si>
    <t>Minimum</t>
  </si>
  <si>
    <t>Maximum</t>
  </si>
  <si>
    <t>Market-wide: same draw for both projects</t>
  </si>
  <si>
    <t>pp</t>
  </si>
  <si>
    <t>Project-specific: independent draws</t>
  </si>
  <si>
    <t>Investment Project NPV - Pirelli: Rome (Georgia) plant expansion</t>
  </si>
  <si>
    <t>(USD m; flows at year-end; NPV at the decision date, i.e. the start of the first investment year)</t>
  </si>
  <si>
    <t>Timeline</t>
  </si>
  <si>
    <t>Expansion capex phasing</t>
  </si>
  <si>
    <t>Assumption: phasing not disclosed; robotised phase from 2027, conventional plant to 2033</t>
  </si>
  <si>
    <t>Added capacity available - PCLT (m tyres)</t>
  </si>
  <si>
    <t>Robotised line to +2.55m from 2028, conventional plant adding 3m by 2033 (press release)</t>
  </si>
  <si>
    <t>Added capacity available - TBR (m tyres)</t>
  </si>
  <si>
    <t>Pirelli makes no truck tyres</t>
  </si>
  <si>
    <t>Price index</t>
  </si>
  <si>
    <t>(1 + price growth)^(year - price base year)</t>
  </si>
  <si>
    <t>Free Cash Flow (base case)</t>
  </si>
  <si>
    <t>Sales volume - PCLT (m tyres)</t>
  </si>
  <si>
    <t>Capacity available x utilisation</t>
  </si>
  <si>
    <t>Sales volume - TBR (m tyres)</t>
  </si>
  <si>
    <t>Volumes x net prices x price index</t>
  </si>
  <si>
    <t>Revenues x EBITDA margin</t>
  </si>
  <si>
    <t>- D&amp;A (expansion capex)</t>
  </si>
  <si>
    <t>Each year of capex depreciated over the following 15 years</t>
  </si>
  <si>
    <t>- D&amp;A (maintenance capex)</t>
  </si>
  <si>
    <t>Same rule for maintenance capex</t>
  </si>
  <si>
    <t>EBITDA - D&amp;A</t>
  </si>
  <si>
    <t>Tax on EBIT (early losses offset against group profits)</t>
  </si>
  <si>
    <t>- Expansion capex</t>
  </si>
  <si>
    <t>Announced capex x phasing</t>
  </si>
  <si>
    <t>- Maintenance capex</t>
  </si>
  <si>
    <t>Revenues x maintenance capex %</t>
  </si>
  <si>
    <t>Revenues x WCR %</t>
  </si>
  <si>
    <t>Increase in WCR financed by the project</t>
  </si>
  <si>
    <t>+ Residual value</t>
  </si>
  <si>
    <t>Last year: WCR recovered + net book value of fixed assets</t>
  </si>
  <si>
    <t>FCF = OCF - Capex - Change in WCR + Residual value</t>
  </si>
  <si>
    <t>FCF x discount factor</t>
  </si>
  <si>
    <t>Cumulative FCF</t>
  </si>
  <si>
    <t>Used for the payback period</t>
  </si>
  <si>
    <t>Cumulative PV(FCF)</t>
  </si>
  <si>
    <t>Used for the discounted payback period</t>
  </si>
  <si>
    <t>Results (base case)</t>
  </si>
  <si>
    <t>NPV</t>
  </si>
  <si>
    <t>Sum of PV(FCF)</t>
  </si>
  <si>
    <t>EUR m</t>
  </si>
  <si>
    <t>At the ECB 2024 average rate</t>
  </si>
  <si>
    <t>Rate that makes the NPV zero</t>
  </si>
  <si>
    <t>Project accepted if IRR &gt; WACC</t>
  </si>
  <si>
    <t>IRR - WACC</t>
  </si>
  <si>
    <t>PV of expansion capex</t>
  </si>
  <si>
    <t>Initial investment, discounted</t>
  </si>
  <si>
    <t>PI = 1 + NPV / PV of investment</t>
  </si>
  <si>
    <t>Payback period</t>
  </si>
  <si>
    <t>Years until cumulative FCF turns positive</t>
  </si>
  <si>
    <t>Discounted payback period</t>
  </si>
  <si>
    <t>Same, on discounted flows</t>
  </si>
  <si>
    <t>NPV at WACC - 1 pp</t>
  </si>
  <si>
    <t>Sensitivity to the discount rate</t>
  </si>
  <si>
    <t>NPV at WACC + 1 pp</t>
  </si>
  <si>
    <t>PV Components (used in Risk_Analysis)</t>
  </si>
  <si>
    <t>PV of revenues (A)</t>
  </si>
  <si>
    <t>Scales with price and utilisation</t>
  </si>
  <si>
    <t>PV of capex-linked flows (C)</t>
  </si>
  <si>
    <t>Expansion capex + its tax saving on D&amp;A + its residual value; scales with capex overrun</t>
  </si>
  <si>
    <t>PV of other revenue-linked flows (B)</t>
  </si>
  <si>
    <t>Maintenance capex, WCR and their tax/residual effects; scales with price and utilisation</t>
  </si>
  <si>
    <t>Check: margin x (1-T) x A + B + C - NPV</t>
  </si>
  <si>
    <t>Must be 0</t>
  </si>
  <si>
    <t>Global IRR and Financial Break-Even (FBE)</t>
  </si>
  <si>
    <t>Flows reinvested at the WACC instead of the IRR</t>
  </si>
  <si>
    <t>Break-even revenue factor</t>
  </si>
  <si>
    <t>Sales level at which NPV = 0, as a multiple of the base case: -C / (margin × (1 - T) × A + B)</t>
  </si>
  <si>
    <t>Break-even price per car tyre</t>
  </si>
  <si>
    <t>Base price × break-even factor</t>
  </si>
  <si>
    <t>Break-even sales volume</t>
  </si>
  <si>
    <t>Added capacity × utilisation × break-even factor</t>
  </si>
  <si>
    <t>Break-even utilisation</t>
  </si>
  <si>
    <t>Base utilisation × break-even factor</t>
  </si>
  <si>
    <t>Security Index</t>
  </si>
  <si>
    <t>Margin of safety / turnover = 1 - break-even factor</t>
  </si>
  <si>
    <t>Neutral Point</t>
  </si>
  <si>
    <t>days</t>
  </si>
  <si>
    <t>FBE / (annual turnover / 360) = break even factor × 360</t>
  </si>
  <si>
    <t>Investment Project NPV - Hankook: Clarksville (Tennessee) plant expansion</t>
  </si>
  <si>
    <t>Assumption: spending concentrated before the start of production</t>
  </si>
  <si>
    <t>Production from Q4 2024, full capacity early 2026 (press release)</t>
  </si>
  <si>
    <t>First US truck &amp; bus line, full capacity early 2026</t>
  </si>
  <si>
    <t>Base price × break-even factor; the same factor applies to the truck tyre price ($300 -&gt; $325)</t>
  </si>
  <si>
    <t>Risk Analysis - Scenarios and Simulation (USD m)</t>
  </si>
  <si>
    <t>(NPV = revenue factor x [(margin + shock) x (1 - T) x A + B] + (1 + capex overrun) x C, with A, B, C from the NPV sheets; revenue factor = (1 + price shock) x (utilisation + shock) / utilisation)</t>
  </si>
  <si>
    <t>Scenario Analysis</t>
  </si>
  <si>
    <t>Price / mix shock</t>
  </si>
  <si>
    <t>From 'Proj_Inputs'</t>
  </si>
  <si>
    <t>Utilisation shock</t>
  </si>
  <si>
    <t>EBITDA margin shock</t>
  </si>
  <si>
    <t>NPV Pirelli</t>
  </si>
  <si>
    <t>USD m; base column equals the NPV sheet</t>
  </si>
  <si>
    <t>NPV Hankook</t>
  </si>
  <si>
    <t>Profitability index Pirelli</t>
  </si>
  <si>
    <t>PV of capex increases with the overrun</t>
  </si>
  <si>
    <t>Profitability index Hankook</t>
  </si>
  <si>
    <t>Scenarios change prices, volumes, margins and capex; the timing of the projects is kept as in the base case.</t>
  </si>
  <si>
    <t>Monte Carlo Simulation (500 draws)</t>
  </si>
  <si>
    <t>Mean NPV</t>
  </si>
  <si>
    <t>Each row below is one possible future: random shocks are drawn and the NPV is recalculated</t>
  </si>
  <si>
    <t>Median NPV</t>
  </si>
  <si>
    <t>Standard deviation</t>
  </si>
  <si>
    <t>5th percentile</t>
  </si>
  <si>
    <t>95th percentile</t>
  </si>
  <si>
    <t>Probability of NPV &lt; 0</t>
  </si>
  <si>
    <t>Draws: random numbers u between 0 and 1 (generated with RAND() and pasted as values, so results are reproducible); shock = minimum + (maximum - minimum) x u</t>
  </si>
  <si>
    <t>Draw</t>
  </si>
  <si>
    <t>u Price</t>
  </si>
  <si>
    <t>u Margin</t>
  </si>
  <si>
    <t>u Util. P</t>
  </si>
  <si>
    <t>u Capex P</t>
  </si>
  <si>
    <t>u Util. H</t>
  </si>
  <si>
    <t>u Capex H</t>
  </si>
  <si>
    <t>Price shock</t>
  </si>
  <si>
    <t>Margin shock</t>
  </si>
  <si>
    <t>Util. shock P</t>
  </si>
  <si>
    <t>Capex overrun P</t>
  </si>
  <si>
    <t>Util. shock H</t>
  </si>
  <si>
    <t>Capex overrun H</t>
  </si>
  <si>
    <t>Investment Projects - Summary &amp; Comparison</t>
  </si>
  <si>
    <t>(USD m; all figures linked to 'NPV_Pirelli', 'NPV_Hankook' and 'Risk_Analysis')</t>
  </si>
  <si>
    <t>Base Case</t>
  </si>
  <si>
    <t>Decision year (first investment)</t>
  </si>
  <si>
    <t>NPV measured at this date</t>
  </si>
  <si>
    <t>Announced budget</t>
  </si>
  <si>
    <t>Added capacity</t>
  </si>
  <si>
    <t>PCLT + TBR</t>
  </si>
  <si>
    <t>Risk Analysis</t>
  </si>
  <si>
    <t>NPV - base case</t>
  </si>
  <si>
    <t>Simulation - mean NPV</t>
  </si>
  <si>
    <t>500 draws</t>
  </si>
  <si>
    <t>Simulation - 5th percentile</t>
  </si>
  <si>
    <t>Simulation - 95th percentile</t>
  </si>
  <si>
    <t>Simulation - probability of NPV &lt; 0</t>
  </si>
  <si>
    <t>Course Criteria</t>
  </si>
  <si>
    <t>Above the WACC for Pirelli, below it for Hankook</t>
  </si>
  <si>
    <t>Base: $165 / $95</t>
  </si>
  <si>
    <t>Base: 5.0 / 5.85m tyres</t>
  </si>
  <si>
    <t>Base: 90%</t>
  </si>
  <si>
    <t>Security index</t>
  </si>
  <si>
    <t>Negative = sales must rise to break even</t>
  </si>
  <si>
    <t>Neutral point</t>
  </si>
  <si>
    <t>Hankook above 360: break-even not reached within a year of sales</t>
  </si>
  <si>
    <t>Financial Data (k€)</t>
  </si>
  <si>
    <t>Benchmark: Pirelli disclosed WACC 2024</t>
  </si>
  <si>
    <t>Equity Beta</t>
  </si>
  <si>
    <t>Cost of Equity (Re)</t>
  </si>
  <si>
    <t>Cost of Debt after tax</t>
  </si>
  <si>
    <t>Weight of Equity</t>
  </si>
  <si>
    <t>Weight of Debt</t>
  </si>
  <si>
    <t>Market Price (30/12/2024)</t>
  </si>
  <si>
    <t>DCF upside vs Market Price</t>
  </si>
  <si>
    <t>EBIT Margin 2024</t>
  </si>
  <si>
    <t>Terminal Value % of EV</t>
  </si>
  <si>
    <t>P/E - Sector</t>
  </si>
  <si>
    <t>P/B - Sector</t>
  </si>
  <si>
    <t>(All Hankook figures are converted in k€ at ECB annual average rates: 1,358.07 / 1,412.88 / 1,475.40 KRW per €)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</si>
</sst>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0.000"/>
    <numFmt numFmtId="165" formatCode="#,##0.0000"/>
    <numFmt numFmtId="166" formatCode="0.0%"/>
    <numFmt numFmtId="167" formatCode="0.0000"/>
    <numFmt numFmtId="168" formatCode="0.0"/>
    <numFmt numFmtId="169" formatCode="#,##0.0"/>
    <numFmt numFmtId="170" formatCode="0.00\x"/>
  </numFmts>
  <fonts count="18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u/>
      <sz val="11"/>
      <color theme="10"/>
      <name val="Calibri"/>
      <family val="2"/>
    </font>
    <font>
      <i/>
      <u/>
      <sz val="11"/>
      <color theme="10"/>
      <name val="Calibri"/>
      <family val="2"/>
    </font>
    <font>
      <i/>
      <sz val="11"/>
      <color theme="1"/>
      <name val="Calibri"/>
      <family val="2"/>
    </font>
    <font>
      <b/>
      <sz val="11"/>
      <name val="Calibri"/>
      <family val="2"/>
    </font>
    <font>
      <i/>
      <sz val="11"/>
      <name val="Calibri"/>
      <family val="2"/>
    </font>
    <font>
      <sz val="11"/>
      <name val="Calibri"/>
      <family val="2"/>
    </font>
    <font>
      <i/>
      <u/>
      <sz val="11"/>
      <color rgb="FF0563C1"/>
      <name val="Calibri"/>
      <family val="2"/>
    </font>
    <font>
      <i/>
      <sz val="11"/>
      <name val="Calibri"/>
      <family val="2"/>
      <charset val="1"/>
    </font>
    <font>
      <b/>
      <sz val="11"/>
      <name val="Calibri"/>
      <family val="2"/>
      <charset val="1"/>
    </font>
    <font>
      <sz val="11"/>
      <name val="Calibri"/>
      <family val="2"/>
      <charset val="1"/>
    </font>
    <font>
      <sz val="11"/>
      <color rgb="FF000000"/>
      <name val="Calibri"/>
      <family val="2"/>
    </font>
    <font>
      <sz val="10"/>
      <color theme="1"/>
      <name val="Arial Unicode MS"/>
      <family val="2"/>
    </font>
    <font>
      <i/>
      <sz val="10"/>
      <color theme="1"/>
      <name val="Arial Unicode MS"/>
      <family val="2"/>
    </font>
    <font>
      <b/>
      <sz val="10"/>
      <color theme="1"/>
      <name val="Arial Unicode MS"/>
      <family val="2"/>
    </font>
    <font>
      <b/>
      <i/>
      <sz val="11"/>
      <color theme="1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0" tint="-0.14999847407452621"/>
        <bgColor rgb="FFDCEAF7"/>
      </patternFill>
    </fill>
    <fill>
      <patternFill patternType="solid">
        <fgColor theme="5" tint="0.59987182226020086"/>
        <bgColor rgb="FFD9D9D9"/>
      </patternFill>
    </fill>
    <fill>
      <patternFill patternType="solid">
        <fgColor theme="4" tint="0.59987182226020086"/>
        <bgColor rgb="FFC0C0C0"/>
      </patternFill>
    </fill>
    <fill>
      <patternFill patternType="solid">
        <fgColor theme="3" tint="0.89989928891872917"/>
        <bgColor rgb="FFF2F2F2"/>
      </patternFill>
    </fill>
    <fill>
      <patternFill patternType="solid">
        <fgColor rgb="FFFFC000"/>
        <bgColor rgb="FFFF9900"/>
      </patternFill>
    </fill>
    <fill>
      <patternFill patternType="solid">
        <fgColor theme="5" tint="0.59978026673177287"/>
        <bgColor rgb="FFD9D9D9"/>
      </patternFill>
    </fill>
    <fill>
      <patternFill patternType="solid">
        <fgColor theme="4" tint="0.59978026673177287"/>
        <bgColor rgb="FFC0C0C0"/>
      </patternFill>
    </fill>
    <fill>
      <patternFill patternType="solid">
        <fgColor theme="9" tint="0.59978026673177287"/>
        <bgColor rgb="FFD9D9D9"/>
      </patternFill>
    </fill>
    <fill>
      <patternFill patternType="solid">
        <fgColor theme="9" tint="0.59999389629810485"/>
        <bgColor rgb="FFD9D9D9"/>
      </patternFill>
    </fill>
  </fills>
  <borders count="6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478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3" fontId="0" fillId="0" borderId="2" xfId="0" applyNumberFormat="1" applyBorder="1"/>
    <xf numFmtId="10" fontId="0" fillId="0" borderId="2" xfId="1" applyNumberFormat="1" applyFont="1" applyBorder="1"/>
    <xf numFmtId="10" fontId="0" fillId="0" borderId="3" xfId="1" applyNumberFormat="1" applyFont="1" applyBorder="1"/>
    <xf numFmtId="3" fontId="0" fillId="0" borderId="8" xfId="0" applyNumberFormat="1" applyBorder="1"/>
    <xf numFmtId="0" fontId="0" fillId="0" borderId="8" xfId="0" applyBorder="1"/>
    <xf numFmtId="10" fontId="0" fillId="0" borderId="8" xfId="1" applyNumberFormat="1" applyFont="1" applyBorder="1"/>
    <xf numFmtId="10" fontId="0" fillId="0" borderId="9" xfId="1" applyNumberFormat="1" applyFont="1" applyBorder="1"/>
    <xf numFmtId="3" fontId="0" fillId="0" borderId="11" xfId="0" applyNumberFormat="1" applyBorder="1"/>
    <xf numFmtId="10" fontId="0" fillId="0" borderId="11" xfId="1" applyNumberFormat="1" applyFont="1" applyBorder="1"/>
    <xf numFmtId="10" fontId="0" fillId="0" borderId="12" xfId="1" applyNumberFormat="1" applyFont="1" applyBorder="1"/>
    <xf numFmtId="3" fontId="0" fillId="0" borderId="9" xfId="0" applyNumberFormat="1" applyBorder="1"/>
    <xf numFmtId="3" fontId="0" fillId="0" borderId="12" xfId="0" applyNumberFormat="1" applyBorder="1"/>
    <xf numFmtId="3" fontId="0" fillId="0" borderId="3" xfId="0" applyNumberFormat="1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3" fontId="0" fillId="0" borderId="17" xfId="0" applyNumberFormat="1" applyBorder="1"/>
    <xf numFmtId="0" fontId="2" fillId="4" borderId="7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4" borderId="1" xfId="0" applyFont="1" applyFill="1" applyBorder="1"/>
    <xf numFmtId="0" fontId="5" fillId="0" borderId="0" xfId="0" applyFont="1"/>
    <xf numFmtId="2" fontId="0" fillId="0" borderId="9" xfId="0" applyNumberFormat="1" applyBorder="1"/>
    <xf numFmtId="0" fontId="0" fillId="0" borderId="11" xfId="0" applyBorder="1"/>
    <xf numFmtId="2" fontId="0" fillId="0" borderId="12" xfId="0" applyNumberFormat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10" fontId="0" fillId="0" borderId="8" xfId="0" applyNumberFormat="1" applyBorder="1"/>
    <xf numFmtId="10" fontId="0" fillId="0" borderId="11" xfId="0" applyNumberFormat="1" applyBorder="1"/>
    <xf numFmtId="0" fontId="0" fillId="0" borderId="18" xfId="0" applyBorder="1" applyAlignment="1">
      <alignment horizontal="center"/>
    </xf>
    <xf numFmtId="2" fontId="0" fillId="0" borderId="11" xfId="0" applyNumberFormat="1" applyBorder="1"/>
    <xf numFmtId="3" fontId="0" fillId="0" borderId="8" xfId="0" quotePrefix="1" applyNumberFormat="1" applyBorder="1"/>
    <xf numFmtId="2" fontId="0" fillId="0" borderId="8" xfId="0" applyNumberFormat="1" applyBorder="1"/>
    <xf numFmtId="0" fontId="0" fillId="0" borderId="2" xfId="0" applyBorder="1"/>
    <xf numFmtId="0" fontId="0" fillId="0" borderId="3" xfId="0" applyBorder="1"/>
    <xf numFmtId="0" fontId="0" fillId="6" borderId="10" xfId="0" applyFill="1" applyBorder="1"/>
    <xf numFmtId="0" fontId="0" fillId="6" borderId="6" xfId="0" applyFill="1" applyBorder="1" applyAlignment="1">
      <alignment horizontal="center"/>
    </xf>
    <xf numFmtId="2" fontId="0" fillId="0" borderId="16" xfId="0" applyNumberFormat="1" applyBorder="1"/>
    <xf numFmtId="2" fontId="0" fillId="0" borderId="17" xfId="0" applyNumberFormat="1" applyBorder="1"/>
    <xf numFmtId="0" fontId="4" fillId="0" borderId="0" xfId="2" applyFont="1" applyBorder="1"/>
    <xf numFmtId="0" fontId="3" fillId="0" borderId="0" xfId="2" applyBorder="1"/>
    <xf numFmtId="0" fontId="0" fillId="0" borderId="29" xfId="0" applyBorder="1" applyAlignment="1">
      <alignment horizontal="center"/>
    </xf>
    <xf numFmtId="0" fontId="2" fillId="0" borderId="29" xfId="0" applyFont="1" applyBorder="1"/>
    <xf numFmtId="0" fontId="0" fillId="0" borderId="29" xfId="0" applyBorder="1"/>
    <xf numFmtId="10" fontId="0" fillId="0" borderId="8" xfId="0" applyNumberFormat="1" applyBorder="1" applyAlignment="1">
      <alignment horizontal="center"/>
    </xf>
    <xf numFmtId="10" fontId="0" fillId="0" borderId="8" xfId="1" applyNumberFormat="1" applyFont="1" applyBorder="1" applyAlignment="1">
      <alignment horizontal="center"/>
    </xf>
    <xf numFmtId="0" fontId="0" fillId="0" borderId="8" xfId="0" applyBorder="1" applyAlignment="1">
      <alignment horizontal="center"/>
    </xf>
    <xf numFmtId="2" fontId="0" fillId="0" borderId="8" xfId="1" applyNumberFormat="1" applyFont="1" applyBorder="1" applyAlignment="1">
      <alignment horizontal="center"/>
    </xf>
    <xf numFmtId="0" fontId="0" fillId="0" borderId="8" xfId="1" applyNumberFormat="1" applyFont="1" applyBorder="1" applyAlignment="1">
      <alignment horizontal="center"/>
    </xf>
    <xf numFmtId="10" fontId="0" fillId="0" borderId="9" xfId="1" applyNumberFormat="1" applyFont="1" applyBorder="1" applyAlignment="1">
      <alignment horizontal="center"/>
    </xf>
    <xf numFmtId="10" fontId="0" fillId="0" borderId="11" xfId="0" applyNumberFormat="1" applyBorder="1" applyAlignment="1">
      <alignment horizontal="center"/>
    </xf>
    <xf numFmtId="10" fontId="0" fillId="0" borderId="11" xfId="1" applyNumberFormat="1" applyFont="1" applyBorder="1" applyAlignment="1">
      <alignment horizontal="center"/>
    </xf>
    <xf numFmtId="0" fontId="0" fillId="0" borderId="11" xfId="0" applyBorder="1" applyAlignment="1">
      <alignment horizontal="center"/>
    </xf>
    <xf numFmtId="164" fontId="0" fillId="0" borderId="11" xfId="1" applyNumberFormat="1" applyFont="1" applyBorder="1" applyAlignment="1">
      <alignment horizontal="center"/>
    </xf>
    <xf numFmtId="0" fontId="0" fillId="0" borderId="11" xfId="1" applyNumberFormat="1" applyFont="1" applyBorder="1" applyAlignment="1">
      <alignment horizontal="center"/>
    </xf>
    <xf numFmtId="2" fontId="0" fillId="0" borderId="11" xfId="0" applyNumberFormat="1" applyBorder="1" applyAlignment="1">
      <alignment horizontal="center"/>
    </xf>
    <xf numFmtId="10" fontId="0" fillId="0" borderId="12" xfId="1" applyNumberFormat="1" applyFont="1" applyBorder="1" applyAlignment="1">
      <alignment horizontal="center"/>
    </xf>
    <xf numFmtId="0" fontId="0" fillId="0" borderId="12" xfId="0" applyBorder="1" applyAlignment="1">
      <alignment horizontal="center"/>
    </xf>
    <xf numFmtId="4" fontId="0" fillId="0" borderId="11" xfId="0" applyNumberFormat="1" applyBorder="1" applyAlignment="1">
      <alignment horizontal="center"/>
    </xf>
    <xf numFmtId="4" fontId="0" fillId="0" borderId="12" xfId="0" applyNumberFormat="1" applyBorder="1" applyAlignment="1">
      <alignment horizontal="center"/>
    </xf>
    <xf numFmtId="0" fontId="3" fillId="0" borderId="29" xfId="2" applyBorder="1"/>
    <xf numFmtId="4" fontId="0" fillId="0" borderId="24" xfId="0" applyNumberFormat="1" applyBorder="1" applyAlignment="1">
      <alignment horizontal="center"/>
    </xf>
    <xf numFmtId="4" fontId="0" fillId="0" borderId="32" xfId="0" applyNumberFormat="1" applyBorder="1" applyAlignment="1">
      <alignment horizontal="center"/>
    </xf>
    <xf numFmtId="0" fontId="2" fillId="2" borderId="31" xfId="0" applyFont="1" applyFill="1" applyBorder="1" applyAlignment="1">
      <alignment horizontal="center"/>
    </xf>
    <xf numFmtId="10" fontId="0" fillId="0" borderId="11" xfId="1" applyNumberFormat="1" applyFont="1" applyFill="1" applyBorder="1" applyAlignment="1">
      <alignment horizontal="center"/>
    </xf>
    <xf numFmtId="10" fontId="0" fillId="0" borderId="12" xfId="1" applyNumberFormat="1" applyFont="1" applyFill="1" applyBorder="1" applyAlignment="1">
      <alignment horizontal="center"/>
    </xf>
    <xf numFmtId="0" fontId="0" fillId="0" borderId="33" xfId="0" applyBorder="1"/>
    <xf numFmtId="10" fontId="0" fillId="0" borderId="34" xfId="0" applyNumberFormat="1" applyBorder="1"/>
    <xf numFmtId="10" fontId="0" fillId="0" borderId="35" xfId="0" applyNumberFormat="1" applyBorder="1"/>
    <xf numFmtId="0" fontId="5" fillId="0" borderId="14" xfId="0" applyFont="1" applyBorder="1"/>
    <xf numFmtId="0" fontId="5" fillId="0" borderId="15" xfId="0" applyFont="1" applyBorder="1"/>
    <xf numFmtId="10" fontId="0" fillId="0" borderId="0" xfId="0" applyNumberFormat="1"/>
    <xf numFmtId="3" fontId="0" fillId="0" borderId="0" xfId="0" applyNumberFormat="1"/>
    <xf numFmtId="2" fontId="0" fillId="0" borderId="0" xfId="0" applyNumberFormat="1"/>
    <xf numFmtId="2" fontId="0" fillId="0" borderId="24" xfId="0" applyNumberFormat="1" applyBorder="1" applyAlignment="1">
      <alignment horizontal="center"/>
    </xf>
    <xf numFmtId="10" fontId="0" fillId="0" borderId="24" xfId="1" applyNumberFormat="1" applyFont="1" applyFill="1" applyBorder="1" applyAlignment="1">
      <alignment horizontal="center"/>
    </xf>
    <xf numFmtId="10" fontId="0" fillId="0" borderId="32" xfId="1" applyNumberFormat="1" applyFont="1" applyFill="1" applyBorder="1" applyAlignment="1">
      <alignment horizontal="center"/>
    </xf>
    <xf numFmtId="0" fontId="5" fillId="0" borderId="2" xfId="0" applyFont="1" applyBorder="1"/>
    <xf numFmtId="0" fontId="5" fillId="0" borderId="29" xfId="0" applyFont="1" applyBorder="1"/>
    <xf numFmtId="0" fontId="5" fillId="0" borderId="3" xfId="0" applyFont="1" applyBorder="1"/>
    <xf numFmtId="0" fontId="4" fillId="0" borderId="29" xfId="2" applyFont="1" applyBorder="1"/>
    <xf numFmtId="0" fontId="0" fillId="0" borderId="0" xfId="0" applyAlignment="1">
      <alignment horizontal="right"/>
    </xf>
    <xf numFmtId="3" fontId="0" fillId="0" borderId="29" xfId="0" applyNumberFormat="1" applyBorder="1"/>
    <xf numFmtId="0" fontId="0" fillId="0" borderId="14" xfId="0" quotePrefix="1" applyBorder="1"/>
    <xf numFmtId="3" fontId="0" fillId="0" borderId="11" xfId="0" applyNumberFormat="1" applyBorder="1" applyAlignment="1">
      <alignment horizontal="right"/>
    </xf>
    <xf numFmtId="165" fontId="0" fillId="0" borderId="11" xfId="0" applyNumberFormat="1" applyBorder="1" applyAlignment="1">
      <alignment horizontal="right"/>
    </xf>
    <xf numFmtId="3" fontId="0" fillId="0" borderId="23" xfId="0" applyNumberFormat="1" applyBorder="1" applyAlignment="1">
      <alignment horizontal="right"/>
    </xf>
    <xf numFmtId="165" fontId="0" fillId="0" borderId="23" xfId="0" applyNumberFormat="1" applyBorder="1" applyAlignment="1">
      <alignment horizontal="right"/>
    </xf>
    <xf numFmtId="0" fontId="2" fillId="4" borderId="36" xfId="0" applyFont="1" applyFill="1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30" xfId="0" applyBorder="1" applyAlignment="1">
      <alignment horizontal="center"/>
    </xf>
    <xf numFmtId="0" fontId="4" fillId="0" borderId="27" xfId="2" applyFont="1" applyBorder="1"/>
    <xf numFmtId="0" fontId="4" fillId="0" borderId="28" xfId="2" applyFont="1" applyFill="1" applyBorder="1"/>
    <xf numFmtId="0" fontId="0" fillId="0" borderId="37" xfId="0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4" borderId="31" xfId="0" applyFont="1" applyFill="1" applyBorder="1" applyAlignment="1">
      <alignment horizontal="center"/>
    </xf>
    <xf numFmtId="10" fontId="0" fillId="0" borderId="27" xfId="0" applyNumberFormat="1" applyBorder="1" applyAlignment="1">
      <alignment horizontal="center"/>
    </xf>
    <xf numFmtId="3" fontId="0" fillId="0" borderId="27" xfId="0" applyNumberFormat="1" applyBorder="1" applyAlignment="1">
      <alignment horizontal="center"/>
    </xf>
    <xf numFmtId="166" fontId="0" fillId="0" borderId="27" xfId="1" applyNumberFormat="1" applyFont="1" applyBorder="1" applyAlignment="1">
      <alignment horizontal="center"/>
    </xf>
    <xf numFmtId="2" fontId="0" fillId="0" borderId="27" xfId="0" applyNumberFormat="1" applyBorder="1" applyAlignment="1">
      <alignment horizontal="center"/>
    </xf>
    <xf numFmtId="166" fontId="0" fillId="0" borderId="28" xfId="1" applyNumberFormat="1" applyFont="1" applyBorder="1" applyAlignment="1">
      <alignment horizontal="center"/>
    </xf>
    <xf numFmtId="10" fontId="0" fillId="8" borderId="8" xfId="0" applyNumberFormat="1" applyFill="1" applyBorder="1" applyAlignment="1">
      <alignment horizontal="center"/>
    </xf>
    <xf numFmtId="10" fontId="0" fillId="8" borderId="9" xfId="0" applyNumberFormat="1" applyFill="1" applyBorder="1" applyAlignment="1">
      <alignment horizontal="center"/>
    </xf>
    <xf numFmtId="3" fontId="0" fillId="8" borderId="8" xfId="0" applyNumberFormat="1" applyFill="1" applyBorder="1" applyAlignment="1">
      <alignment horizontal="right"/>
    </xf>
    <xf numFmtId="0" fontId="2" fillId="4" borderId="38" xfId="0" applyFont="1" applyFill="1" applyBorder="1"/>
    <xf numFmtId="0" fontId="0" fillId="4" borderId="39" xfId="0" applyFill="1" applyBorder="1" applyAlignment="1">
      <alignment horizontal="center"/>
    </xf>
    <xf numFmtId="0" fontId="0" fillId="4" borderId="40" xfId="0" applyFill="1" applyBorder="1" applyAlignment="1">
      <alignment horizontal="center"/>
    </xf>
    <xf numFmtId="0" fontId="0" fillId="4" borderId="41" xfId="0" applyFill="1" applyBorder="1" applyAlignment="1">
      <alignment horizontal="center"/>
    </xf>
    <xf numFmtId="10" fontId="0" fillId="9" borderId="11" xfId="0" applyNumberFormat="1" applyFill="1" applyBorder="1" applyAlignment="1">
      <alignment horizontal="center"/>
    </xf>
    <xf numFmtId="10" fontId="0" fillId="9" borderId="24" xfId="0" applyNumberFormat="1" applyFill="1" applyBorder="1" applyAlignment="1">
      <alignment horizontal="center"/>
    </xf>
    <xf numFmtId="10" fontId="0" fillId="9" borderId="23" xfId="0" applyNumberFormat="1" applyFill="1" applyBorder="1" applyAlignment="1">
      <alignment horizontal="center"/>
    </xf>
    <xf numFmtId="0" fontId="2" fillId="6" borderId="42" xfId="0" applyFont="1" applyFill="1" applyBorder="1"/>
    <xf numFmtId="3" fontId="2" fillId="6" borderId="43" xfId="0" applyNumberFormat="1" applyFont="1" applyFill="1" applyBorder="1" applyAlignment="1">
      <alignment horizontal="right"/>
    </xf>
    <xf numFmtId="3" fontId="2" fillId="6" borderId="44" xfId="0" applyNumberFormat="1" applyFont="1" applyFill="1" applyBorder="1" applyAlignment="1">
      <alignment horizontal="right"/>
    </xf>
    <xf numFmtId="3" fontId="2" fillId="6" borderId="37" xfId="0" applyNumberFormat="1" applyFont="1" applyFill="1" applyBorder="1" applyAlignment="1">
      <alignment horizontal="right"/>
    </xf>
    <xf numFmtId="0" fontId="2" fillId="4" borderId="5" xfId="0" applyFont="1" applyFill="1" applyBorder="1" applyAlignment="1">
      <alignment horizontal="center"/>
    </xf>
    <xf numFmtId="3" fontId="0" fillId="0" borderId="24" xfId="0" applyNumberFormat="1" applyBorder="1"/>
    <xf numFmtId="3" fontId="0" fillId="0" borderId="46" xfId="0" applyNumberFormat="1" applyBorder="1"/>
    <xf numFmtId="4" fontId="0" fillId="0" borderId="0" xfId="0" applyNumberFormat="1"/>
    <xf numFmtId="4" fontId="0" fillId="0" borderId="2" xfId="0" applyNumberFormat="1" applyBorder="1"/>
    <xf numFmtId="4" fontId="0" fillId="0" borderId="29" xfId="0" applyNumberFormat="1" applyBorder="1"/>
    <xf numFmtId="4" fontId="0" fillId="0" borderId="3" xfId="0" applyNumberFormat="1" applyBorder="1"/>
    <xf numFmtId="4" fontId="0" fillId="6" borderId="0" xfId="0" applyNumberFormat="1" applyFill="1"/>
    <xf numFmtId="0" fontId="6" fillId="0" borderId="0" xfId="0" applyFont="1"/>
    <xf numFmtId="0" fontId="7" fillId="0" borderId="0" xfId="0" applyFont="1"/>
    <xf numFmtId="0" fontId="6" fillId="10" borderId="4" xfId="0" applyFont="1" applyFill="1" applyBorder="1"/>
    <xf numFmtId="0" fontId="6" fillId="11" borderId="5" xfId="0" applyFont="1" applyFill="1" applyBorder="1" applyAlignment="1">
      <alignment horizontal="center"/>
    </xf>
    <xf numFmtId="0" fontId="6" fillId="10" borderId="5" xfId="0" applyFont="1" applyFill="1" applyBorder="1" applyAlignment="1">
      <alignment horizontal="center"/>
    </xf>
    <xf numFmtId="0" fontId="6" fillId="10" borderId="6" xfId="0" applyFont="1" applyFill="1" applyBorder="1"/>
    <xf numFmtId="0" fontId="8" fillId="0" borderId="27" xfId="0" applyFont="1" applyBorder="1"/>
    <xf numFmtId="0" fontId="8" fillId="0" borderId="0" xfId="0" applyFont="1" applyAlignment="1">
      <alignment horizontal="center"/>
    </xf>
    <xf numFmtId="0" fontId="7" fillId="0" borderId="2" xfId="0" applyFont="1" applyBorder="1"/>
    <xf numFmtId="0" fontId="9" fillId="0" borderId="0" xfId="0" applyFont="1"/>
    <xf numFmtId="3" fontId="8" fillId="0" borderId="0" xfId="0" applyNumberFormat="1" applyFont="1"/>
    <xf numFmtId="2" fontId="8" fillId="0" borderId="0" xfId="0" applyNumberFormat="1" applyFont="1"/>
    <xf numFmtId="0" fontId="8" fillId="0" borderId="28" xfId="0" applyFont="1" applyBorder="1"/>
    <xf numFmtId="0" fontId="8" fillId="0" borderId="29" xfId="0" applyFont="1" applyBorder="1" applyAlignment="1">
      <alignment horizontal="center"/>
    </xf>
    <xf numFmtId="0" fontId="7" fillId="0" borderId="3" xfId="0" applyFont="1" applyBorder="1"/>
    <xf numFmtId="168" fontId="8" fillId="0" borderId="0" xfId="0" applyNumberFormat="1" applyFont="1"/>
    <xf numFmtId="169" fontId="8" fillId="0" borderId="0" xfId="0" applyNumberFormat="1" applyFont="1"/>
    <xf numFmtId="166" fontId="8" fillId="0" borderId="0" xfId="0" applyNumberFormat="1" applyFont="1"/>
    <xf numFmtId="166" fontId="8" fillId="0" borderId="29" xfId="0" applyNumberFormat="1" applyFont="1" applyBorder="1"/>
    <xf numFmtId="166" fontId="8" fillId="13" borderId="0" xfId="0" applyNumberFormat="1" applyFont="1" applyFill="1"/>
    <xf numFmtId="166" fontId="8" fillId="13" borderId="29" xfId="0" applyNumberFormat="1" applyFont="1" applyFill="1" applyBorder="1"/>
    <xf numFmtId="1" fontId="6" fillId="10" borderId="5" xfId="0" applyNumberFormat="1" applyFont="1" applyFill="1" applyBorder="1" applyAlignment="1">
      <alignment horizontal="center"/>
    </xf>
    <xf numFmtId="164" fontId="8" fillId="0" borderId="29" xfId="0" applyNumberFormat="1" applyFont="1" applyBorder="1"/>
    <xf numFmtId="169" fontId="8" fillId="0" borderId="29" xfId="0" applyNumberFormat="1" applyFont="1" applyBorder="1"/>
    <xf numFmtId="0" fontId="6" fillId="0" borderId="27" xfId="0" applyFont="1" applyBorder="1"/>
    <xf numFmtId="0" fontId="6" fillId="11" borderId="36" xfId="0" applyFont="1" applyFill="1" applyBorder="1" applyAlignment="1">
      <alignment horizontal="center"/>
    </xf>
    <xf numFmtId="169" fontId="8" fillId="0" borderId="23" xfId="0" applyNumberFormat="1" applyFont="1" applyBorder="1"/>
    <xf numFmtId="10" fontId="8" fillId="0" borderId="23" xfId="0" applyNumberFormat="1" applyFont="1" applyBorder="1"/>
    <xf numFmtId="168" fontId="8" fillId="0" borderId="23" xfId="0" applyNumberFormat="1" applyFont="1" applyBorder="1"/>
    <xf numFmtId="169" fontId="8" fillId="0" borderId="30" xfId="0" applyNumberFormat="1" applyFont="1" applyBorder="1"/>
    <xf numFmtId="0" fontId="6" fillId="10" borderId="10" xfId="0" applyFont="1" applyFill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6" fillId="10" borderId="31" xfId="0" applyFont="1" applyFill="1" applyBorder="1" applyAlignment="1">
      <alignment horizontal="center"/>
    </xf>
    <xf numFmtId="0" fontId="8" fillId="0" borderId="24" xfId="0" applyFont="1" applyBorder="1" applyAlignment="1">
      <alignment horizontal="center"/>
    </xf>
    <xf numFmtId="0" fontId="8" fillId="0" borderId="32" xfId="0" applyFont="1" applyBorder="1" applyAlignment="1">
      <alignment horizontal="center"/>
    </xf>
    <xf numFmtId="1" fontId="8" fillId="0" borderId="0" xfId="0" applyNumberFormat="1" applyFont="1" applyAlignment="1">
      <alignment horizontal="center"/>
    </xf>
    <xf numFmtId="9" fontId="8" fillId="13" borderId="0" xfId="0" applyNumberFormat="1" applyFont="1" applyFill="1"/>
    <xf numFmtId="2" fontId="8" fillId="13" borderId="0" xfId="0" applyNumberFormat="1" applyFont="1" applyFill="1"/>
    <xf numFmtId="167" fontId="8" fillId="0" borderId="0" xfId="0" applyNumberFormat="1" applyFont="1"/>
    <xf numFmtId="0" fontId="6" fillId="12" borderId="36" xfId="0" applyFont="1" applyFill="1" applyBorder="1" applyAlignment="1">
      <alignment horizontal="center"/>
    </xf>
    <xf numFmtId="0" fontId="6" fillId="12" borderId="10" xfId="0" applyFont="1" applyFill="1" applyBorder="1" applyAlignment="1">
      <alignment horizontal="center"/>
    </xf>
    <xf numFmtId="169" fontId="8" fillId="0" borderId="11" xfId="0" applyNumberFormat="1" applyFont="1" applyBorder="1"/>
    <xf numFmtId="2" fontId="8" fillId="0" borderId="29" xfId="0" applyNumberFormat="1" applyFont="1" applyBorder="1"/>
    <xf numFmtId="0" fontId="3" fillId="0" borderId="2" xfId="2" applyBorder="1"/>
    <xf numFmtId="0" fontId="8" fillId="0" borderId="14" xfId="0" applyFont="1" applyBorder="1"/>
    <xf numFmtId="0" fontId="6" fillId="11" borderId="4" xfId="0" applyFont="1" applyFill="1" applyBorder="1" applyAlignment="1">
      <alignment horizontal="center"/>
    </xf>
    <xf numFmtId="3" fontId="8" fillId="0" borderId="27" xfId="0" applyNumberFormat="1" applyFont="1" applyBorder="1"/>
    <xf numFmtId="1" fontId="8" fillId="0" borderId="27" xfId="0" applyNumberFormat="1" applyFont="1" applyBorder="1"/>
    <xf numFmtId="2" fontId="8" fillId="0" borderId="27" xfId="0" applyNumberFormat="1" applyFont="1" applyBorder="1"/>
    <xf numFmtId="3" fontId="8" fillId="0" borderId="28" xfId="0" applyNumberFormat="1" applyFont="1" applyBorder="1"/>
    <xf numFmtId="2" fontId="8" fillId="0" borderId="23" xfId="0" applyNumberFormat="1" applyFont="1" applyBorder="1"/>
    <xf numFmtId="0" fontId="8" fillId="0" borderId="11" xfId="0" applyFont="1" applyBorder="1"/>
    <xf numFmtId="3" fontId="8" fillId="0" borderId="11" xfId="0" applyNumberFormat="1" applyFont="1" applyBorder="1"/>
    <xf numFmtId="1" fontId="8" fillId="0" borderId="11" xfId="0" applyNumberFormat="1" applyFont="1" applyBorder="1"/>
    <xf numFmtId="2" fontId="8" fillId="0" borderId="11" xfId="0" applyNumberFormat="1" applyFont="1" applyBorder="1"/>
    <xf numFmtId="3" fontId="8" fillId="0" borderId="12" xfId="0" applyNumberFormat="1" applyFont="1" applyBorder="1"/>
    <xf numFmtId="0" fontId="6" fillId="10" borderId="36" xfId="0" applyFont="1" applyFill="1" applyBorder="1" applyAlignment="1">
      <alignment horizontal="center"/>
    </xf>
    <xf numFmtId="0" fontId="8" fillId="0" borderId="23" xfId="0" applyFont="1" applyBorder="1" applyAlignment="1">
      <alignment horizontal="center"/>
    </xf>
    <xf numFmtId="0" fontId="8" fillId="0" borderId="30" xfId="0" applyFont="1" applyBorder="1" applyAlignment="1">
      <alignment horizontal="center"/>
    </xf>
    <xf numFmtId="0" fontId="6" fillId="10" borderId="1" xfId="0" applyFont="1" applyFill="1" applyBorder="1"/>
    <xf numFmtId="0" fontId="7" fillId="0" borderId="14" xfId="0" applyFont="1" applyBorder="1"/>
    <xf numFmtId="0" fontId="7" fillId="0" borderId="15" xfId="0" applyFont="1" applyBorder="1"/>
    <xf numFmtId="0" fontId="2" fillId="3" borderId="6" xfId="0" applyFont="1" applyFill="1" applyBorder="1"/>
    <xf numFmtId="0" fontId="7" fillId="0" borderId="27" xfId="0" applyFont="1" applyBorder="1"/>
    <xf numFmtId="0" fontId="7" fillId="0" borderId="28" xfId="0" applyFont="1" applyBorder="1"/>
    <xf numFmtId="0" fontId="2" fillId="2" borderId="10" xfId="0" applyFont="1" applyFill="1" applyBorder="1"/>
    <xf numFmtId="0" fontId="3" fillId="0" borderId="11" xfId="2" applyBorder="1"/>
    <xf numFmtId="0" fontId="0" fillId="0" borderId="12" xfId="0" applyBorder="1"/>
    <xf numFmtId="0" fontId="3" fillId="0" borderId="12" xfId="2" applyBorder="1"/>
    <xf numFmtId="0" fontId="3" fillId="0" borderId="3" xfId="2" applyBorder="1"/>
    <xf numFmtId="0" fontId="2" fillId="0" borderId="11" xfId="0" applyFont="1" applyBorder="1"/>
    <xf numFmtId="0" fontId="2" fillId="0" borderId="2" xfId="0" applyFont="1" applyBorder="1"/>
    <xf numFmtId="0" fontId="8" fillId="0" borderId="15" xfId="0" applyFont="1" applyBorder="1"/>
    <xf numFmtId="0" fontId="6" fillId="11" borderId="7" xfId="0" applyFont="1" applyFill="1" applyBorder="1" applyAlignment="1">
      <alignment horizontal="center"/>
    </xf>
    <xf numFmtId="3" fontId="8" fillId="13" borderId="8" xfId="0" applyNumberFormat="1" applyFont="1" applyFill="1" applyBorder="1"/>
    <xf numFmtId="1" fontId="8" fillId="13" borderId="8" xfId="0" applyNumberFormat="1" applyFont="1" applyFill="1" applyBorder="1"/>
    <xf numFmtId="10" fontId="8" fillId="0" borderId="8" xfId="0" applyNumberFormat="1" applyFont="1" applyBorder="1"/>
    <xf numFmtId="10" fontId="8" fillId="13" borderId="8" xfId="0" applyNumberFormat="1" applyFont="1" applyFill="1" applyBorder="1"/>
    <xf numFmtId="167" fontId="8" fillId="13" borderId="9" xfId="0" applyNumberFormat="1" applyFont="1" applyFill="1" applyBorder="1"/>
    <xf numFmtId="3" fontId="8" fillId="13" borderId="11" xfId="0" applyNumberFormat="1" applyFont="1" applyFill="1" applyBorder="1"/>
    <xf numFmtId="1" fontId="8" fillId="13" borderId="11" xfId="0" applyNumberFormat="1" applyFont="1" applyFill="1" applyBorder="1"/>
    <xf numFmtId="10" fontId="8" fillId="0" borderId="11" xfId="0" applyNumberFormat="1" applyFont="1" applyBorder="1"/>
    <xf numFmtId="10" fontId="8" fillId="13" borderId="11" xfId="0" applyNumberFormat="1" applyFont="1" applyFill="1" applyBorder="1"/>
    <xf numFmtId="167" fontId="8" fillId="0" borderId="12" xfId="0" applyNumberFormat="1" applyFont="1" applyBorder="1"/>
    <xf numFmtId="166" fontId="8" fillId="13" borderId="23" xfId="0" applyNumberFormat="1" applyFont="1" applyFill="1" applyBorder="1"/>
    <xf numFmtId="166" fontId="8" fillId="13" borderId="30" xfId="0" applyNumberFormat="1" applyFont="1" applyFill="1" applyBorder="1"/>
    <xf numFmtId="166" fontId="8" fillId="13" borderId="11" xfId="0" applyNumberFormat="1" applyFont="1" applyFill="1" applyBorder="1"/>
    <xf numFmtId="166" fontId="8" fillId="13" borderId="12" xfId="0" applyNumberFormat="1" applyFont="1" applyFill="1" applyBorder="1"/>
    <xf numFmtId="0" fontId="6" fillId="10" borderId="7" xfId="0" applyFont="1" applyFill="1" applyBorder="1" applyAlignment="1">
      <alignment horizontal="center"/>
    </xf>
    <xf numFmtId="166" fontId="8" fillId="13" borderId="8" xfId="0" applyNumberFormat="1" applyFont="1" applyFill="1" applyBorder="1"/>
    <xf numFmtId="166" fontId="8" fillId="13" borderId="9" xfId="0" applyNumberFormat="1" applyFont="1" applyFill="1" applyBorder="1"/>
    <xf numFmtId="166" fontId="8" fillId="0" borderId="23" xfId="0" applyNumberFormat="1" applyFont="1" applyBorder="1"/>
    <xf numFmtId="2" fontId="8" fillId="0" borderId="30" xfId="0" applyNumberFormat="1" applyFont="1" applyBorder="1"/>
    <xf numFmtId="166" fontId="8" fillId="0" borderId="11" xfId="0" applyNumberFormat="1" applyFont="1" applyBorder="1"/>
    <xf numFmtId="2" fontId="8" fillId="0" borderId="12" xfId="0" applyNumberFormat="1" applyFont="1" applyBorder="1"/>
    <xf numFmtId="0" fontId="0" fillId="0" borderId="18" xfId="0" applyBorder="1"/>
    <xf numFmtId="0" fontId="10" fillId="0" borderId="0" xfId="0" applyFont="1"/>
    <xf numFmtId="0" fontId="11" fillId="10" borderId="0" xfId="0" applyFont="1" applyFill="1" applyAlignment="1">
      <alignment horizontal="center"/>
    </xf>
    <xf numFmtId="0" fontId="12" fillId="0" borderId="0" xfId="0" applyFont="1"/>
    <xf numFmtId="164" fontId="12" fillId="0" borderId="0" xfId="0" applyNumberFormat="1" applyFont="1"/>
    <xf numFmtId="166" fontId="12" fillId="0" borderId="0" xfId="0" applyNumberFormat="1" applyFont="1"/>
    <xf numFmtId="169" fontId="12" fillId="0" borderId="0" xfId="0" applyNumberFormat="1" applyFont="1"/>
    <xf numFmtId="0" fontId="6" fillId="15" borderId="5" xfId="0" applyFont="1" applyFill="1" applyBorder="1" applyAlignment="1">
      <alignment horizontal="center"/>
    </xf>
    <xf numFmtId="0" fontId="6" fillId="16" borderId="5" xfId="0" applyFont="1" applyFill="1" applyBorder="1" applyAlignment="1">
      <alignment horizontal="center"/>
    </xf>
    <xf numFmtId="0" fontId="8" fillId="0" borderId="25" xfId="0" applyFont="1" applyBorder="1"/>
    <xf numFmtId="0" fontId="8" fillId="0" borderId="26" xfId="0" applyFont="1" applyBorder="1" applyAlignment="1">
      <alignment horizontal="center"/>
    </xf>
    <xf numFmtId="0" fontId="7" fillId="0" borderId="18" xfId="0" applyFont="1" applyBorder="1"/>
    <xf numFmtId="0" fontId="6" fillId="0" borderId="28" xfId="0" applyFont="1" applyBorder="1"/>
    <xf numFmtId="0" fontId="6" fillId="0" borderId="25" xfId="0" applyFont="1" applyBorder="1"/>
    <xf numFmtId="10" fontId="8" fillId="0" borderId="26" xfId="0" applyNumberFormat="1" applyFont="1" applyBorder="1" applyAlignment="1">
      <alignment horizontal="center"/>
    </xf>
    <xf numFmtId="10" fontId="8" fillId="0" borderId="0" xfId="0" applyNumberFormat="1" applyFont="1" applyAlignment="1">
      <alignment horizontal="center"/>
    </xf>
    <xf numFmtId="10" fontId="6" fillId="17" borderId="29" xfId="0" applyNumberFormat="1" applyFont="1" applyFill="1" applyBorder="1" applyAlignment="1">
      <alignment horizontal="center"/>
    </xf>
    <xf numFmtId="2" fontId="8" fillId="0" borderId="0" xfId="0" applyNumberFormat="1" applyFont="1" applyAlignment="1">
      <alignment horizontal="center"/>
    </xf>
    <xf numFmtId="3" fontId="8" fillId="0" borderId="0" xfId="0" applyNumberFormat="1" applyFont="1" applyAlignment="1">
      <alignment horizontal="center"/>
    </xf>
    <xf numFmtId="166" fontId="8" fillId="0" borderId="29" xfId="0" applyNumberFormat="1" applyFont="1" applyBorder="1" applyAlignment="1">
      <alignment horizontal="center"/>
    </xf>
    <xf numFmtId="2" fontId="6" fillId="17" borderId="26" xfId="0" applyNumberFormat="1" applyFont="1" applyFill="1" applyBorder="1" applyAlignment="1">
      <alignment horizontal="center"/>
    </xf>
    <xf numFmtId="3" fontId="6" fillId="17" borderId="26" xfId="0" applyNumberFormat="1" applyFont="1" applyFill="1" applyBorder="1" applyAlignment="1">
      <alignment horizontal="center"/>
    </xf>
    <xf numFmtId="170" fontId="8" fillId="0" borderId="26" xfId="0" applyNumberFormat="1" applyFont="1" applyBorder="1" applyAlignment="1">
      <alignment horizontal="center"/>
    </xf>
    <xf numFmtId="170" fontId="8" fillId="0" borderId="0" xfId="0" applyNumberFormat="1" applyFont="1" applyAlignment="1">
      <alignment horizontal="center"/>
    </xf>
    <xf numFmtId="170" fontId="8" fillId="0" borderId="29" xfId="0" applyNumberFormat="1" applyFont="1" applyBorder="1" applyAlignment="1">
      <alignment horizontal="center"/>
    </xf>
    <xf numFmtId="169" fontId="6" fillId="17" borderId="0" xfId="0" applyNumberFormat="1" applyFont="1" applyFill="1" applyAlignment="1">
      <alignment horizontal="center"/>
    </xf>
    <xf numFmtId="169" fontId="8" fillId="0" borderId="0" xfId="0" applyNumberFormat="1" applyFont="1" applyAlignment="1">
      <alignment horizontal="center"/>
    </xf>
    <xf numFmtId="166" fontId="6" fillId="17" borderId="29" xfId="0" applyNumberFormat="1" applyFont="1" applyFill="1" applyBorder="1" applyAlignment="1">
      <alignment horizontal="center"/>
    </xf>
    <xf numFmtId="3" fontId="8" fillId="0" borderId="29" xfId="0" applyNumberFormat="1" applyFont="1" applyBorder="1" applyAlignment="1">
      <alignment horizontal="center"/>
    </xf>
    <xf numFmtId="2" fontId="8" fillId="0" borderId="26" xfId="0" applyNumberFormat="1" applyFont="1" applyBorder="1" applyAlignment="1">
      <alignment horizontal="center"/>
    </xf>
    <xf numFmtId="166" fontId="8" fillId="0" borderId="0" xfId="0" applyNumberFormat="1" applyFont="1" applyAlignment="1">
      <alignment horizontal="center"/>
    </xf>
    <xf numFmtId="10" fontId="6" fillId="17" borderId="0" xfId="0" applyNumberFormat="1" applyFont="1" applyFill="1" applyAlignment="1">
      <alignment horizontal="center"/>
    </xf>
    <xf numFmtId="10" fontId="8" fillId="0" borderId="29" xfId="0" applyNumberFormat="1" applyFont="1" applyBorder="1" applyAlignment="1">
      <alignment horizontal="center"/>
    </xf>
    <xf numFmtId="3" fontId="8" fillId="0" borderId="26" xfId="0" applyNumberFormat="1" applyFont="1" applyBorder="1" applyAlignment="1">
      <alignment horizontal="center"/>
    </xf>
    <xf numFmtId="2" fontId="6" fillId="17" borderId="0" xfId="0" applyNumberFormat="1" applyFont="1" applyFill="1" applyAlignment="1">
      <alignment horizontal="center"/>
    </xf>
    <xf numFmtId="3" fontId="6" fillId="17" borderId="0" xfId="0" applyNumberFormat="1" applyFont="1" applyFill="1" applyAlignment="1">
      <alignment horizontal="center"/>
    </xf>
    <xf numFmtId="2" fontId="8" fillId="0" borderId="29" xfId="0" applyNumberFormat="1" applyFont="1" applyBorder="1" applyAlignment="1">
      <alignment horizontal="center"/>
    </xf>
    <xf numFmtId="168" fontId="8" fillId="0" borderId="0" xfId="0" applyNumberFormat="1" applyFont="1" applyAlignment="1">
      <alignment horizontal="center"/>
    </xf>
    <xf numFmtId="169" fontId="8" fillId="0" borderId="29" xfId="0" applyNumberFormat="1" applyFont="1" applyBorder="1" applyAlignment="1">
      <alignment horizontal="center"/>
    </xf>
    <xf numFmtId="169" fontId="8" fillId="0" borderId="26" xfId="0" applyNumberFormat="1" applyFont="1" applyBorder="1" applyAlignment="1">
      <alignment horizontal="center"/>
    </xf>
    <xf numFmtId="164" fontId="0" fillId="0" borderId="11" xfId="0" applyNumberFormat="1" applyBorder="1"/>
    <xf numFmtId="168" fontId="0" fillId="0" borderId="11" xfId="0" applyNumberFormat="1" applyBorder="1"/>
    <xf numFmtId="166" fontId="0" fillId="0" borderId="11" xfId="1" applyNumberFormat="1" applyFont="1" applyBorder="1"/>
    <xf numFmtId="1" fontId="0" fillId="0" borderId="12" xfId="0" applyNumberFormat="1" applyBorder="1"/>
    <xf numFmtId="0" fontId="6" fillId="4" borderId="10" xfId="0" applyFont="1" applyFill="1" applyBorder="1" applyAlignment="1">
      <alignment horizontal="center"/>
    </xf>
    <xf numFmtId="0" fontId="6" fillId="4" borderId="4" xfId="0" applyFont="1" applyFill="1" applyBorder="1"/>
    <xf numFmtId="168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166" fontId="0" fillId="0" borderId="0" xfId="1" applyNumberFormat="1" applyFont="1" applyBorder="1" applyAlignment="1">
      <alignment horizontal="center"/>
    </xf>
    <xf numFmtId="1" fontId="0" fillId="0" borderId="29" xfId="0" applyNumberFormat="1" applyBorder="1" applyAlignment="1">
      <alignment horizontal="center"/>
    </xf>
    <xf numFmtId="10" fontId="2" fillId="5" borderId="0" xfId="0" applyNumberFormat="1" applyFont="1" applyFill="1" applyAlignment="1">
      <alignment horizontal="center"/>
    </xf>
    <xf numFmtId="166" fontId="2" fillId="5" borderId="0" xfId="1" applyNumberFormat="1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166" fontId="6" fillId="17" borderId="0" xfId="0" applyNumberFormat="1" applyFont="1" applyFill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0" fillId="0" borderId="27" xfId="0" applyBorder="1"/>
    <xf numFmtId="0" fontId="0" fillId="0" borderId="28" xfId="0" applyBorder="1"/>
    <xf numFmtId="10" fontId="2" fillId="0" borderId="5" xfId="0" applyNumberFormat="1" applyFont="1" applyBorder="1"/>
    <xf numFmtId="10" fontId="2" fillId="0" borderId="6" xfId="0" applyNumberFormat="1" applyFont="1" applyBorder="1"/>
    <xf numFmtId="10" fontId="2" fillId="0" borderId="14" xfId="0" applyNumberFormat="1" applyFont="1" applyBorder="1" applyAlignment="1">
      <alignment horizontal="center"/>
    </xf>
    <xf numFmtId="10" fontId="2" fillId="0" borderId="15" xfId="0" applyNumberFormat="1" applyFont="1" applyBorder="1" applyAlignment="1">
      <alignment horizontal="center"/>
    </xf>
    <xf numFmtId="0" fontId="0" fillId="6" borderId="14" xfId="0" applyFill="1" applyBorder="1"/>
    <xf numFmtId="3" fontId="0" fillId="6" borderId="0" xfId="0" applyNumberFormat="1" applyFill="1"/>
    <xf numFmtId="3" fontId="0" fillId="6" borderId="11" xfId="0" applyNumberFormat="1" applyFill="1" applyBorder="1"/>
    <xf numFmtId="3" fontId="0" fillId="0" borderId="0" xfId="0" applyNumberFormat="1" applyAlignment="1">
      <alignment horizontal="center"/>
    </xf>
    <xf numFmtId="4" fontId="0" fillId="0" borderId="0" xfId="0" applyNumberFormat="1" applyAlignment="1">
      <alignment horizontal="center"/>
    </xf>
    <xf numFmtId="0" fontId="2" fillId="0" borderId="27" xfId="0" applyFont="1" applyBorder="1"/>
    <xf numFmtId="10" fontId="0" fillId="0" borderId="0" xfId="0" applyNumberFormat="1" applyAlignment="1">
      <alignment horizontal="center"/>
    </xf>
    <xf numFmtId="4" fontId="2" fillId="5" borderId="0" xfId="0" applyNumberFormat="1" applyFont="1" applyFill="1" applyAlignment="1">
      <alignment horizontal="center"/>
    </xf>
    <xf numFmtId="166" fontId="0" fillId="0" borderId="29" xfId="1" applyNumberFormat="1" applyFont="1" applyBorder="1" applyAlignment="1">
      <alignment horizontal="center"/>
    </xf>
    <xf numFmtId="0" fontId="0" fillId="0" borderId="52" xfId="0" applyBorder="1" applyAlignment="1">
      <alignment horizontal="center"/>
    </xf>
    <xf numFmtId="0" fontId="0" fillId="0" borderId="47" xfId="0" applyBorder="1" applyAlignment="1">
      <alignment horizontal="center"/>
    </xf>
    <xf numFmtId="0" fontId="0" fillId="0" borderId="53" xfId="0" applyBorder="1" applyAlignment="1">
      <alignment horizontal="center"/>
    </xf>
    <xf numFmtId="0" fontId="2" fillId="4" borderId="51" xfId="0" applyFont="1" applyFill="1" applyBorder="1" applyAlignment="1">
      <alignment horizontal="center"/>
    </xf>
    <xf numFmtId="0" fontId="0" fillId="0" borderId="55" xfId="0" applyBorder="1" applyAlignment="1">
      <alignment horizontal="center"/>
    </xf>
    <xf numFmtId="0" fontId="2" fillId="4" borderId="6" xfId="0" applyFont="1" applyFill="1" applyBorder="1"/>
    <xf numFmtId="0" fontId="2" fillId="3" borderId="5" xfId="0" applyFont="1" applyFill="1" applyBorder="1" applyAlignment="1">
      <alignment horizontal="center"/>
    </xf>
    <xf numFmtId="0" fontId="2" fillId="4" borderId="4" xfId="0" applyFont="1" applyFill="1" applyBorder="1"/>
    <xf numFmtId="0" fontId="13" fillId="0" borderId="0" xfId="0" applyFont="1"/>
    <xf numFmtId="0" fontId="0" fillId="6" borderId="15" xfId="0" applyFill="1" applyBorder="1"/>
    <xf numFmtId="10" fontId="0" fillId="6" borderId="29" xfId="1" applyNumberFormat="1" applyFont="1" applyFill="1" applyBorder="1"/>
    <xf numFmtId="10" fontId="0" fillId="6" borderId="12" xfId="1" applyNumberFormat="1" applyFont="1" applyFill="1" applyBorder="1"/>
    <xf numFmtId="3" fontId="2" fillId="5" borderId="0" xfId="0" applyNumberFormat="1" applyFont="1" applyFill="1" applyAlignment="1">
      <alignment horizontal="center"/>
    </xf>
    <xf numFmtId="2" fontId="14" fillId="0" borderId="0" xfId="0" applyNumberFormat="1" applyFont="1" applyAlignment="1">
      <alignment horizontal="center"/>
    </xf>
    <xf numFmtId="10" fontId="0" fillId="0" borderId="29" xfId="0" applyNumberFormat="1" applyBorder="1" applyAlignment="1">
      <alignment horizontal="center"/>
    </xf>
    <xf numFmtId="10" fontId="14" fillId="0" borderId="29" xfId="0" applyNumberFormat="1" applyFont="1" applyBorder="1" applyAlignment="1">
      <alignment horizontal="center"/>
    </xf>
    <xf numFmtId="2" fontId="0" fillId="0" borderId="29" xfId="0" applyNumberFormat="1" applyBorder="1" applyAlignment="1">
      <alignment horizontal="center"/>
    </xf>
    <xf numFmtId="4" fontId="16" fillId="5" borderId="0" xfId="0" applyNumberFormat="1" applyFont="1" applyFill="1"/>
    <xf numFmtId="3" fontId="2" fillId="5" borderId="11" xfId="0" applyNumberFormat="1" applyFont="1" applyFill="1" applyBorder="1"/>
    <xf numFmtId="10" fontId="0" fillId="9" borderId="9" xfId="1" applyNumberFormat="1" applyFont="1" applyFill="1" applyBorder="1" applyAlignment="1">
      <alignment horizontal="center"/>
    </xf>
    <xf numFmtId="10" fontId="0" fillId="9" borderId="12" xfId="1" applyNumberFormat="1" applyFont="1" applyFill="1" applyBorder="1" applyAlignment="1">
      <alignment horizontal="center"/>
    </xf>
    <xf numFmtId="0" fontId="0" fillId="9" borderId="8" xfId="0" applyFill="1" applyBorder="1" applyAlignment="1">
      <alignment horizontal="center"/>
    </xf>
    <xf numFmtId="0" fontId="0" fillId="9" borderId="11" xfId="0" applyFill="1" applyBorder="1" applyAlignment="1">
      <alignment horizontal="center"/>
    </xf>
    <xf numFmtId="10" fontId="0" fillId="0" borderId="12" xfId="0" applyNumberFormat="1" applyBorder="1" applyAlignment="1">
      <alignment horizontal="center"/>
    </xf>
    <xf numFmtId="10" fontId="0" fillId="0" borderId="32" xfId="0" applyNumberFormat="1" applyBorder="1" applyAlignment="1">
      <alignment horizontal="center"/>
    </xf>
    <xf numFmtId="10" fontId="0" fillId="0" borderId="30" xfId="0" applyNumberFormat="1" applyBorder="1" applyAlignment="1">
      <alignment horizontal="center"/>
    </xf>
    <xf numFmtId="0" fontId="17" fillId="6" borderId="1" xfId="0" applyFont="1" applyFill="1" applyBorder="1"/>
    <xf numFmtId="10" fontId="17" fillId="6" borderId="7" xfId="0" applyNumberFormat="1" applyFont="1" applyFill="1" applyBorder="1"/>
    <xf numFmtId="10" fontId="5" fillId="6" borderId="10" xfId="0" applyNumberFormat="1" applyFont="1" applyFill="1" applyBorder="1"/>
    <xf numFmtId="0" fontId="2" fillId="6" borderId="14" xfId="0" applyFont="1" applyFill="1" applyBorder="1"/>
    <xf numFmtId="3" fontId="2" fillId="6" borderId="8" xfId="0" applyNumberFormat="1" applyFont="1" applyFill="1" applyBorder="1" applyAlignment="1">
      <alignment horizontal="right"/>
    </xf>
    <xf numFmtId="3" fontId="2" fillId="6" borderId="11" xfId="0" applyNumberFormat="1" applyFont="1" applyFill="1" applyBorder="1" applyAlignment="1">
      <alignment horizontal="right"/>
    </xf>
    <xf numFmtId="3" fontId="2" fillId="6" borderId="23" xfId="0" applyNumberFormat="1" applyFont="1" applyFill="1" applyBorder="1" applyAlignment="1">
      <alignment horizontal="right"/>
    </xf>
    <xf numFmtId="0" fontId="2" fillId="0" borderId="19" xfId="0" applyFont="1" applyBorder="1"/>
    <xf numFmtId="3" fontId="2" fillId="0" borderId="21" xfId="0" applyNumberFormat="1" applyFont="1" applyBorder="1" applyAlignment="1">
      <alignment horizontal="right"/>
    </xf>
    <xf numFmtId="3" fontId="2" fillId="0" borderId="45" xfId="0" applyNumberFormat="1" applyFont="1" applyBorder="1" applyAlignment="1">
      <alignment horizontal="right"/>
    </xf>
    <xf numFmtId="0" fontId="2" fillId="5" borderId="19" xfId="0" applyFont="1" applyFill="1" applyBorder="1"/>
    <xf numFmtId="10" fontId="2" fillId="5" borderId="20" xfId="0" applyNumberFormat="1" applyFont="1" applyFill="1" applyBorder="1"/>
    <xf numFmtId="10" fontId="2" fillId="5" borderId="21" xfId="0" applyNumberFormat="1" applyFont="1" applyFill="1" applyBorder="1"/>
    <xf numFmtId="10" fontId="2" fillId="5" borderId="20" xfId="1" applyNumberFormat="1" applyFont="1" applyFill="1" applyBorder="1"/>
    <xf numFmtId="10" fontId="2" fillId="5" borderId="21" xfId="1" applyNumberFormat="1" applyFont="1" applyFill="1" applyBorder="1"/>
    <xf numFmtId="0" fontId="0" fillId="5" borderId="22" xfId="0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0" fillId="5" borderId="37" xfId="0" applyFill="1" applyBorder="1" applyAlignment="1">
      <alignment horizontal="center"/>
    </xf>
    <xf numFmtId="0" fontId="2" fillId="5" borderId="42" xfId="0" applyFont="1" applyFill="1" applyBorder="1"/>
    <xf numFmtId="3" fontId="2" fillId="5" borderId="49" xfId="0" applyNumberFormat="1" applyFont="1" applyFill="1" applyBorder="1" applyAlignment="1">
      <alignment horizontal="center"/>
    </xf>
    <xf numFmtId="4" fontId="2" fillId="5" borderId="49" xfId="0" applyNumberFormat="1" applyFont="1" applyFill="1" applyBorder="1" applyAlignment="1">
      <alignment horizontal="center"/>
    </xf>
    <xf numFmtId="3" fontId="2" fillId="5" borderId="54" xfId="0" applyNumberFormat="1" applyFont="1" applyFill="1" applyBorder="1" applyAlignment="1">
      <alignment horizontal="center"/>
    </xf>
    <xf numFmtId="0" fontId="0" fillId="5" borderId="56" xfId="0" applyFill="1" applyBorder="1" applyAlignment="1">
      <alignment horizontal="center"/>
    </xf>
    <xf numFmtId="3" fontId="2" fillId="8" borderId="43" xfId="0" applyNumberFormat="1" applyFont="1" applyFill="1" applyBorder="1" applyAlignment="1">
      <alignment horizontal="right"/>
    </xf>
    <xf numFmtId="0" fontId="2" fillId="0" borderId="42" xfId="0" applyFont="1" applyBorder="1"/>
    <xf numFmtId="3" fontId="2" fillId="0" borderId="44" xfId="0" applyNumberFormat="1" applyFont="1" applyBorder="1" applyAlignment="1">
      <alignment horizontal="right"/>
    </xf>
    <xf numFmtId="3" fontId="2" fillId="0" borderId="37" xfId="0" applyNumberFormat="1" applyFont="1" applyBorder="1" applyAlignment="1">
      <alignment horizontal="right"/>
    </xf>
    <xf numFmtId="3" fontId="2" fillId="8" borderId="20" xfId="0" applyNumberFormat="1" applyFont="1" applyFill="1" applyBorder="1" applyAlignment="1">
      <alignment horizontal="right"/>
    </xf>
    <xf numFmtId="2" fontId="2" fillId="5" borderId="8" xfId="0" applyNumberFormat="1" applyFont="1" applyFill="1" applyBorder="1"/>
    <xf numFmtId="0" fontId="2" fillId="5" borderId="14" xfId="0" applyFont="1" applyFill="1" applyBorder="1"/>
    <xf numFmtId="0" fontId="0" fillId="5" borderId="11" xfId="0" applyFill="1" applyBorder="1" applyAlignment="1">
      <alignment horizontal="center"/>
    </xf>
    <xf numFmtId="0" fontId="0" fillId="6" borderId="29" xfId="0" applyFill="1" applyBorder="1" applyAlignment="1">
      <alignment horizontal="center"/>
    </xf>
    <xf numFmtId="0" fontId="5" fillId="6" borderId="15" xfId="0" applyFont="1" applyFill="1" applyBorder="1"/>
    <xf numFmtId="3" fontId="5" fillId="6" borderId="29" xfId="0" applyNumberFormat="1" applyFont="1" applyFill="1" applyBorder="1"/>
    <xf numFmtId="3" fontId="5" fillId="6" borderId="12" xfId="0" applyNumberFormat="1" applyFont="1" applyFill="1" applyBorder="1"/>
    <xf numFmtId="3" fontId="2" fillId="6" borderId="49" xfId="0" applyNumberFormat="1" applyFont="1" applyFill="1" applyBorder="1"/>
    <xf numFmtId="3" fontId="2" fillId="6" borderId="44" xfId="0" applyNumberFormat="1" applyFont="1" applyFill="1" applyBorder="1"/>
    <xf numFmtId="0" fontId="0" fillId="6" borderId="0" xfId="0" applyFill="1" applyAlignment="1">
      <alignment horizontal="center"/>
    </xf>
    <xf numFmtId="0" fontId="0" fillId="6" borderId="50" xfId="0" applyFill="1" applyBorder="1" applyAlignment="1">
      <alignment horizontal="center"/>
    </xf>
    <xf numFmtId="0" fontId="0" fillId="5" borderId="0" xfId="0" applyFill="1" applyAlignment="1">
      <alignment horizontal="center"/>
    </xf>
    <xf numFmtId="0" fontId="6" fillId="6" borderId="54" xfId="0" applyFont="1" applyFill="1" applyBorder="1"/>
    <xf numFmtId="169" fontId="6" fillId="6" borderId="49" xfId="0" applyNumberFormat="1" applyFont="1" applyFill="1" applyBorder="1"/>
    <xf numFmtId="169" fontId="6" fillId="6" borderId="57" xfId="0" applyNumberFormat="1" applyFont="1" applyFill="1" applyBorder="1"/>
    <xf numFmtId="0" fontId="6" fillId="14" borderId="54" xfId="0" applyFont="1" applyFill="1" applyBorder="1"/>
    <xf numFmtId="169" fontId="6" fillId="14" borderId="49" xfId="0" applyNumberFormat="1" applyFont="1" applyFill="1" applyBorder="1"/>
    <xf numFmtId="169" fontId="6" fillId="14" borderId="57" xfId="0" applyNumberFormat="1" applyFont="1" applyFill="1" applyBorder="1"/>
    <xf numFmtId="0" fontId="6" fillId="0" borderId="54" xfId="0" applyFont="1" applyBorder="1"/>
    <xf numFmtId="169" fontId="6" fillId="0" borderId="49" xfId="0" applyNumberFormat="1" applyFont="1" applyBorder="1"/>
    <xf numFmtId="169" fontId="6" fillId="0" borderId="57" xfId="0" applyNumberFormat="1" applyFont="1" applyBorder="1"/>
    <xf numFmtId="4" fontId="7" fillId="0" borderId="30" xfId="0" applyNumberFormat="1" applyFont="1" applyBorder="1"/>
    <xf numFmtId="169" fontId="6" fillId="18" borderId="23" xfId="0" applyNumberFormat="1" applyFont="1" applyFill="1" applyBorder="1"/>
    <xf numFmtId="0" fontId="6" fillId="5" borderId="58" xfId="0" applyFont="1" applyFill="1" applyBorder="1"/>
    <xf numFmtId="169" fontId="6" fillId="18" borderId="59" xfId="0" applyNumberFormat="1" applyFont="1" applyFill="1" applyBorder="1"/>
    <xf numFmtId="0" fontId="8" fillId="5" borderId="40" xfId="0" applyFont="1" applyFill="1" applyBorder="1" applyAlignment="1">
      <alignment horizontal="center"/>
    </xf>
    <xf numFmtId="0" fontId="6" fillId="5" borderId="54" xfId="0" applyFont="1" applyFill="1" applyBorder="1"/>
    <xf numFmtId="10" fontId="6" fillId="18" borderId="56" xfId="0" applyNumberFormat="1" applyFont="1" applyFill="1" applyBorder="1"/>
    <xf numFmtId="0" fontId="8" fillId="5" borderId="44" xfId="0" applyFont="1" applyFill="1" applyBorder="1" applyAlignment="1">
      <alignment horizontal="center"/>
    </xf>
    <xf numFmtId="2" fontId="6" fillId="18" borderId="56" xfId="0" applyNumberFormat="1" applyFont="1" applyFill="1" applyBorder="1"/>
    <xf numFmtId="4" fontId="7" fillId="0" borderId="12" xfId="0" applyNumberFormat="1" applyFont="1" applyBorder="1"/>
    <xf numFmtId="10" fontId="2" fillId="5" borderId="40" xfId="0" applyNumberFormat="1" applyFont="1" applyFill="1" applyBorder="1"/>
    <xf numFmtId="166" fontId="2" fillId="5" borderId="44" xfId="1" applyNumberFormat="1" applyFont="1" applyFill="1" applyBorder="1"/>
    <xf numFmtId="0" fontId="6" fillId="4" borderId="25" xfId="0" applyFont="1" applyFill="1" applyBorder="1"/>
    <xf numFmtId="0" fontId="2" fillId="3" borderId="17" xfId="0" applyFont="1" applyFill="1" applyBorder="1" applyAlignment="1">
      <alignment horizontal="center"/>
    </xf>
    <xf numFmtId="0" fontId="6" fillId="4" borderId="17" xfId="0" applyFont="1" applyFill="1" applyBorder="1" applyAlignment="1">
      <alignment horizontal="center"/>
    </xf>
    <xf numFmtId="10" fontId="2" fillId="5" borderId="44" xfId="0" applyNumberFormat="1" applyFont="1" applyFill="1" applyBorder="1"/>
    <xf numFmtId="0" fontId="6" fillId="5" borderId="14" xfId="0" applyFont="1" applyFill="1" applyBorder="1"/>
    <xf numFmtId="169" fontId="6" fillId="18" borderId="0" xfId="0" applyNumberFormat="1" applyFont="1" applyFill="1"/>
    <xf numFmtId="169" fontId="6" fillId="18" borderId="11" xfId="0" applyNumberFormat="1" applyFont="1" applyFill="1" applyBorder="1"/>
    <xf numFmtId="10" fontId="6" fillId="0" borderId="0" xfId="0" applyNumberFormat="1" applyFont="1" applyAlignment="1">
      <alignment horizontal="center"/>
    </xf>
    <xf numFmtId="2" fontId="6" fillId="0" borderId="0" xfId="0" applyNumberFormat="1" applyFont="1" applyAlignment="1">
      <alignment horizontal="center"/>
    </xf>
    <xf numFmtId="3" fontId="6" fillId="0" borderId="0" xfId="0" applyNumberFormat="1" applyFont="1" applyAlignment="1">
      <alignment horizontal="center"/>
    </xf>
    <xf numFmtId="3" fontId="6" fillId="5" borderId="0" xfId="0" applyNumberFormat="1" applyFont="1" applyFill="1" applyAlignment="1">
      <alignment horizontal="center"/>
    </xf>
    <xf numFmtId="3" fontId="2" fillId="0" borderId="0" xfId="0" applyNumberFormat="1" applyFont="1" applyAlignment="1">
      <alignment horizontal="center"/>
    </xf>
    <xf numFmtId="3" fontId="2" fillId="5" borderId="48" xfId="0" applyNumberFormat="1" applyFont="1" applyFill="1" applyBorder="1"/>
    <xf numFmtId="3" fontId="2" fillId="5" borderId="21" xfId="0" applyNumberFormat="1" applyFont="1" applyFill="1" applyBorder="1"/>
    <xf numFmtId="169" fontId="6" fillId="5" borderId="0" xfId="0" applyNumberFormat="1" applyFont="1" applyFill="1" applyAlignment="1">
      <alignment horizontal="center"/>
    </xf>
    <xf numFmtId="0" fontId="6" fillId="5" borderId="15" xfId="0" applyFont="1" applyFill="1" applyBorder="1"/>
    <xf numFmtId="166" fontId="6" fillId="18" borderId="29" xfId="0" applyNumberFormat="1" applyFont="1" applyFill="1" applyBorder="1"/>
    <xf numFmtId="166" fontId="6" fillId="18" borderId="12" xfId="0" applyNumberFormat="1" applyFont="1" applyFill="1" applyBorder="1"/>
    <xf numFmtId="0" fontId="2" fillId="3" borderId="4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5" fillId="0" borderId="27" xfId="0" applyFont="1" applyBorder="1"/>
    <xf numFmtId="0" fontId="5" fillId="0" borderId="0" xfId="0" applyFont="1"/>
    <xf numFmtId="0" fontId="5" fillId="0" borderId="2" xfId="0" applyFont="1" applyBorder="1"/>
    <xf numFmtId="0" fontId="5" fillId="0" borderId="29" xfId="0" applyFont="1" applyBorder="1"/>
    <xf numFmtId="0" fontId="5" fillId="0" borderId="3" xfId="0" applyFont="1" applyBorder="1"/>
    <xf numFmtId="0" fontId="5" fillId="0" borderId="28" xfId="0" applyFont="1" applyBorder="1"/>
    <xf numFmtId="0" fontId="5" fillId="0" borderId="25" xfId="0" applyFont="1" applyBorder="1"/>
    <xf numFmtId="0" fontId="5" fillId="0" borderId="26" xfId="0" applyFont="1" applyBorder="1"/>
    <xf numFmtId="0" fontId="5" fillId="0" borderId="18" xfId="0" applyFont="1" applyBorder="1"/>
    <xf numFmtId="0" fontId="7" fillId="0" borderId="0" xfId="0" applyFont="1"/>
    <xf numFmtId="0" fontId="4" fillId="0" borderId="25" xfId="2" applyFont="1" applyBorder="1" applyAlignment="1"/>
    <xf numFmtId="0" fontId="4" fillId="0" borderId="26" xfId="2" applyFont="1" applyBorder="1" applyAlignment="1"/>
    <xf numFmtId="0" fontId="4" fillId="0" borderId="18" xfId="2" applyFont="1" applyBorder="1" applyAlignment="1"/>
    <xf numFmtId="0" fontId="4" fillId="0" borderId="27" xfId="2" applyFont="1" applyBorder="1" applyAlignment="1"/>
    <xf numFmtId="0" fontId="4" fillId="0" borderId="0" xfId="2" applyFont="1" applyBorder="1" applyAlignment="1"/>
    <xf numFmtId="0" fontId="4" fillId="0" borderId="2" xfId="2" applyFont="1" applyBorder="1" applyAlignment="1"/>
    <xf numFmtId="0" fontId="4" fillId="0" borderId="28" xfId="2" applyFont="1" applyBorder="1" applyAlignment="1"/>
    <xf numFmtId="0" fontId="4" fillId="0" borderId="29" xfId="2" applyFont="1" applyBorder="1" applyAlignment="1"/>
    <xf numFmtId="0" fontId="4" fillId="0" borderId="3" xfId="2" applyFont="1" applyBorder="1" applyAlignment="1"/>
    <xf numFmtId="0" fontId="4" fillId="0" borderId="27" xfId="2" applyFont="1" applyFill="1" applyBorder="1" applyAlignment="1"/>
    <xf numFmtId="0" fontId="4" fillId="0" borderId="0" xfId="2" applyFont="1" applyFill="1" applyBorder="1" applyAlignment="1"/>
    <xf numFmtId="0" fontId="4" fillId="0" borderId="2" xfId="2" applyFont="1" applyFill="1" applyBorder="1" applyAlignment="1"/>
    <xf numFmtId="0" fontId="5" fillId="0" borderId="4" xfId="0" applyFont="1" applyBorder="1"/>
    <xf numFmtId="0" fontId="5" fillId="0" borderId="5" xfId="0" applyFont="1" applyBorder="1"/>
    <xf numFmtId="0" fontId="5" fillId="0" borderId="6" xfId="0" applyFont="1" applyBorder="1"/>
    <xf numFmtId="0" fontId="0" fillId="7" borderId="25" xfId="0" applyFill="1" applyBorder="1"/>
    <xf numFmtId="0" fontId="0" fillId="7" borderId="26" xfId="0" applyFill="1" applyBorder="1"/>
    <xf numFmtId="0" fontId="0" fillId="7" borderId="18" xfId="0" applyFill="1" applyBorder="1"/>
    <xf numFmtId="0" fontId="0" fillId="7" borderId="27" xfId="0" applyFill="1" applyBorder="1"/>
    <xf numFmtId="0" fontId="0" fillId="7" borderId="0" xfId="0" applyFill="1"/>
    <xf numFmtId="0" fontId="0" fillId="7" borderId="2" xfId="0" applyFill="1" applyBorder="1"/>
    <xf numFmtId="0" fontId="0" fillId="7" borderId="28" xfId="0" applyFill="1" applyBorder="1"/>
    <xf numFmtId="0" fontId="0" fillId="7" borderId="29" xfId="0" applyFill="1" applyBorder="1"/>
    <xf numFmtId="0" fontId="0" fillId="7" borderId="3" xfId="0" applyFill="1" applyBorder="1"/>
    <xf numFmtId="0" fontId="4" fillId="0" borderId="4" xfId="2" applyFont="1" applyBorder="1" applyAlignment="1"/>
    <xf numFmtId="0" fontId="4" fillId="0" borderId="5" xfId="2" applyFont="1" applyBorder="1" applyAlignment="1"/>
    <xf numFmtId="0" fontId="4" fillId="0" borderId="6" xfId="2" applyFont="1" applyBorder="1" applyAlignment="1"/>
    <xf numFmtId="0" fontId="2" fillId="4" borderId="4" xfId="0" applyFont="1" applyFill="1" applyBorder="1"/>
    <xf numFmtId="0" fontId="2" fillId="4" borderId="5" xfId="0" applyFont="1" applyFill="1" applyBorder="1"/>
    <xf numFmtId="0" fontId="2" fillId="4" borderId="6" xfId="0" applyFont="1" applyFill="1" applyBorder="1"/>
    <xf numFmtId="0" fontId="2" fillId="0" borderId="0" xfId="0" applyFont="1"/>
    <xf numFmtId="0" fontId="0" fillId="0" borderId="28" xfId="0" applyBorder="1"/>
    <xf numFmtId="0" fontId="0" fillId="0" borderId="29" xfId="0" applyBorder="1"/>
    <xf numFmtId="0" fontId="0" fillId="0" borderId="3" xfId="0" applyBorder="1"/>
    <xf numFmtId="0" fontId="0" fillId="0" borderId="27" xfId="0" applyBorder="1"/>
    <xf numFmtId="0" fontId="0" fillId="0" borderId="0" xfId="0"/>
    <xf numFmtId="0" fontId="0" fillId="0" borderId="2" xfId="0" applyBorder="1"/>
    <xf numFmtId="0" fontId="15" fillId="0" borderId="28" xfId="0" applyFont="1" applyBorder="1"/>
    <xf numFmtId="0" fontId="15" fillId="0" borderId="29" xfId="0" applyFont="1" applyBorder="1"/>
    <xf numFmtId="0" fontId="15" fillId="0" borderId="3" xfId="0" applyFont="1" applyBorder="1"/>
    <xf numFmtId="0" fontId="15" fillId="0" borderId="27" xfId="0" applyFont="1" applyBorder="1"/>
    <xf numFmtId="0" fontId="15" fillId="0" borderId="0" xfId="0" applyFont="1"/>
    <xf numFmtId="0" fontId="15" fillId="0" borderId="2" xfId="0" applyFont="1" applyBorder="1"/>
    <xf numFmtId="0" fontId="6" fillId="0" borderId="0" xfId="0" applyFont="1"/>
    <xf numFmtId="0" fontId="7" fillId="0" borderId="23" xfId="0" applyFont="1" applyBorder="1"/>
    <xf numFmtId="0" fontId="7" fillId="0" borderId="2" xfId="0" applyFont="1" applyBorder="1"/>
    <xf numFmtId="0" fontId="7" fillId="0" borderId="47" xfId="0" applyFont="1" applyBorder="1"/>
    <xf numFmtId="0" fontId="7" fillId="0" borderId="30" xfId="0" applyFont="1" applyBorder="1"/>
    <xf numFmtId="0" fontId="7" fillId="0" borderId="29" xfId="0" applyFont="1" applyBorder="1"/>
    <xf numFmtId="0" fontId="7" fillId="0" borderId="3" xfId="0" applyFont="1" applyBorder="1"/>
    <xf numFmtId="0" fontId="6" fillId="10" borderId="36" xfId="0" applyFont="1" applyFill="1" applyBorder="1"/>
    <xf numFmtId="0" fontId="6" fillId="10" borderId="5" xfId="0" applyFont="1" applyFill="1" applyBorder="1"/>
    <xf numFmtId="0" fontId="6" fillId="10" borderId="6" xfId="0" applyFont="1" applyFill="1" applyBorder="1"/>
    <xf numFmtId="0" fontId="7" fillId="0" borderId="14" xfId="0" applyFont="1" applyBorder="1"/>
    <xf numFmtId="0" fontId="0" fillId="0" borderId="14" xfId="0" applyBorder="1"/>
    <xf numFmtId="0" fontId="6" fillId="10" borderId="4" xfId="0" applyFont="1" applyFill="1" applyBorder="1"/>
    <xf numFmtId="0" fontId="7" fillId="0" borderId="28" xfId="0" applyFont="1" applyBorder="1"/>
    <xf numFmtId="0" fontId="7" fillId="0" borderId="27" xfId="0" applyFont="1" applyBorder="1"/>
  </cellXfs>
  <cellStyles count="3">
    <cellStyle name="Hyperlink" xfId="2" builtinId="8"/>
    <cellStyle name="Normal" xfId="0" builtinId="0"/>
    <cellStyle name="Per 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ACF836-595A-8147-BC72-0724062904E4}">
  <sheetPr>
    <tabColor theme="9" tint="0.59999389629810485"/>
  </sheetPr>
  <dimension ref="A1:E37"/>
  <sheetViews>
    <sheetView tabSelected="1" zoomScale="136" workbookViewId="0"/>
  </sheetViews>
  <sheetFormatPr baseColWidth="10" defaultColWidth="11.5" defaultRowHeight="15" x14ac:dyDescent="0.2"/>
  <cols>
    <col min="1" max="3" width="30.83203125" customWidth="1"/>
    <col min="4" max="4" width="15.83203125" customWidth="1"/>
    <col min="5" max="5" width="60.83203125" customWidth="1"/>
  </cols>
  <sheetData>
    <row r="1" spans="1:5" x14ac:dyDescent="0.2">
      <c r="A1" s="129" t="s">
        <v>0</v>
      </c>
    </row>
    <row r="2" spans="1:5" x14ac:dyDescent="0.2">
      <c r="A2" s="419" t="s">
        <v>1</v>
      </c>
      <c r="B2" s="419"/>
    </row>
    <row r="3" spans="1:5" ht="16" thickBot="1" x14ac:dyDescent="0.25"/>
    <row r="4" spans="1:5" ht="16" thickBot="1" x14ac:dyDescent="0.25">
      <c r="A4" s="131" t="s">
        <v>2</v>
      </c>
      <c r="B4" s="232" t="s">
        <v>3</v>
      </c>
      <c r="C4" s="233" t="s">
        <v>4</v>
      </c>
      <c r="D4" s="133" t="s">
        <v>5</v>
      </c>
      <c r="E4" s="134" t="s">
        <v>6</v>
      </c>
    </row>
    <row r="5" spans="1:5" x14ac:dyDescent="0.2">
      <c r="A5" s="234" t="s">
        <v>555</v>
      </c>
      <c r="B5" s="239">
        <f>WACC!B14</f>
        <v>0.10897855748796084</v>
      </c>
      <c r="C5" s="239">
        <f>WACC!C14</f>
        <v>7.4838485845201252E-2</v>
      </c>
      <c r="D5" s="235" t="s">
        <v>7</v>
      </c>
      <c r="E5" s="225"/>
    </row>
    <row r="6" spans="1:5" x14ac:dyDescent="0.2">
      <c r="A6" s="135" t="s">
        <v>556</v>
      </c>
      <c r="B6" s="240">
        <f>WACC!B19</f>
        <v>2.9087360000000003E-2</v>
      </c>
      <c r="C6" s="240">
        <f>WACC!C19</f>
        <v>2.5585719999999999E-2</v>
      </c>
      <c r="D6" s="136" t="s">
        <v>7</v>
      </c>
      <c r="E6" s="39"/>
    </row>
    <row r="7" spans="1:5" ht="16" thickBot="1" x14ac:dyDescent="0.25">
      <c r="A7" s="237" t="s">
        <v>8</v>
      </c>
      <c r="B7" s="241">
        <f>WACC!B24</f>
        <v>7.6079882707959318E-2</v>
      </c>
      <c r="C7" s="241">
        <f>WACC!C24</f>
        <v>5.8803434196678696E-2</v>
      </c>
      <c r="D7" s="142" t="s">
        <v>7</v>
      </c>
      <c r="E7" s="143" t="s">
        <v>9</v>
      </c>
    </row>
    <row r="8" spans="1:5" ht="16" thickBot="1" x14ac:dyDescent="0.25"/>
    <row r="9" spans="1:5" ht="16" thickBot="1" x14ac:dyDescent="0.25">
      <c r="A9" s="131" t="s">
        <v>10</v>
      </c>
      <c r="B9" s="232" t="s">
        <v>3</v>
      </c>
      <c r="C9" s="233" t="s">
        <v>4</v>
      </c>
      <c r="D9" s="133" t="s">
        <v>5</v>
      </c>
      <c r="E9" s="134" t="s">
        <v>6</v>
      </c>
    </row>
    <row r="10" spans="1:5" x14ac:dyDescent="0.2">
      <c r="A10" s="238" t="s">
        <v>11</v>
      </c>
      <c r="B10" s="245">
        <f>DCF_Pirelli!B44</f>
        <v>9.2224953459536732</v>
      </c>
      <c r="C10" s="246">
        <f>DCF_Hankook!B44</f>
        <v>198911.87976425872</v>
      </c>
      <c r="D10" s="235" t="s">
        <v>12</v>
      </c>
      <c r="E10" s="236" t="s">
        <v>13</v>
      </c>
    </row>
    <row r="11" spans="1:5" x14ac:dyDescent="0.2">
      <c r="A11" s="153" t="s">
        <v>14</v>
      </c>
      <c r="B11" s="391">
        <f>Multiples!B23</f>
        <v>5.9022701441666667</v>
      </c>
      <c r="C11" s="392">
        <f>Multiples!C23</f>
        <v>107372.98749561002</v>
      </c>
      <c r="D11" s="136" t="s">
        <v>12</v>
      </c>
      <c r="E11" s="137" t="s">
        <v>15</v>
      </c>
    </row>
    <row r="12" spans="1:5" x14ac:dyDescent="0.2">
      <c r="A12" s="135" t="s">
        <v>252</v>
      </c>
      <c r="B12" s="242">
        <f>Multiples!B24</f>
        <v>5.7560709999999995</v>
      </c>
      <c r="C12" s="243">
        <f>Multiples!C24</f>
        <v>90995.030032662107</v>
      </c>
      <c r="D12" s="136" t="s">
        <v>12</v>
      </c>
      <c r="E12" s="39"/>
    </row>
    <row r="13" spans="1:5" x14ac:dyDescent="0.2">
      <c r="A13" s="135" t="s">
        <v>559</v>
      </c>
      <c r="B13" s="242">
        <f>Inputs!B11</f>
        <v>5.47</v>
      </c>
      <c r="C13" s="243">
        <f>Inputs!C11</f>
        <v>38400</v>
      </c>
      <c r="D13" s="136" t="s">
        <v>12</v>
      </c>
      <c r="E13" s="39"/>
    </row>
    <row r="14" spans="1:5" ht="16" thickBot="1" x14ac:dyDescent="0.25">
      <c r="A14" s="141" t="s">
        <v>560</v>
      </c>
      <c r="B14" s="244">
        <f>DCF_Pirelli!B46</f>
        <v>0.68601377439738087</v>
      </c>
      <c r="C14" s="244">
        <f>DCF_Hankook!B46</f>
        <v>4.1799968688609042</v>
      </c>
      <c r="D14" s="142" t="s">
        <v>7</v>
      </c>
      <c r="E14" s="143" t="s">
        <v>17</v>
      </c>
    </row>
    <row r="15" spans="1:5" ht="16" thickBot="1" x14ac:dyDescent="0.25"/>
    <row r="16" spans="1:5" ht="16" thickBot="1" x14ac:dyDescent="0.25">
      <c r="A16" s="131" t="s">
        <v>18</v>
      </c>
      <c r="B16" s="232" t="s">
        <v>3</v>
      </c>
      <c r="C16" s="233" t="s">
        <v>4</v>
      </c>
      <c r="D16" s="133" t="s">
        <v>5</v>
      </c>
      <c r="E16" s="134" t="s">
        <v>6</v>
      </c>
    </row>
    <row r="17" spans="1:5" x14ac:dyDescent="0.2">
      <c r="A17" s="234" t="s">
        <v>19</v>
      </c>
      <c r="B17" s="247">
        <f>Multiples!B5</f>
        <v>5.726</v>
      </c>
      <c r="C17" s="247">
        <f>Multiples!C5</f>
        <v>5.726</v>
      </c>
      <c r="D17" s="235" t="s">
        <v>20</v>
      </c>
      <c r="E17" s="225"/>
    </row>
    <row r="18" spans="1:5" x14ac:dyDescent="0.2">
      <c r="A18" s="135" t="s">
        <v>21</v>
      </c>
      <c r="B18" s="248">
        <f>Multiples!B29</f>
        <v>5.1630979606749934</v>
      </c>
      <c r="C18" s="248">
        <f>Multiples!C29</f>
        <v>1.9010747432046287</v>
      </c>
      <c r="D18" s="136" t="s">
        <v>20</v>
      </c>
      <c r="E18" s="39"/>
    </row>
    <row r="19" spans="1:5" ht="16" thickBot="1" x14ac:dyDescent="0.25">
      <c r="A19" s="141" t="s">
        <v>11</v>
      </c>
      <c r="B19" s="249">
        <f>Multiples!B30</f>
        <v>7.7021018078904913</v>
      </c>
      <c r="C19" s="249">
        <f>Multiples!C30</f>
        <v>10.499273195018084</v>
      </c>
      <c r="D19" s="142" t="s">
        <v>20</v>
      </c>
      <c r="E19" s="143" t="s">
        <v>22</v>
      </c>
    </row>
    <row r="20" spans="1:5" ht="16" thickBot="1" x14ac:dyDescent="0.25"/>
    <row r="21" spans="1:5" ht="16" thickBot="1" x14ac:dyDescent="0.25">
      <c r="A21" s="131" t="s">
        <v>23</v>
      </c>
      <c r="B21" s="232" t="s">
        <v>3</v>
      </c>
      <c r="C21" s="233" t="s">
        <v>4</v>
      </c>
      <c r="D21" s="133" t="s">
        <v>5</v>
      </c>
      <c r="E21" s="134" t="s">
        <v>6</v>
      </c>
    </row>
    <row r="22" spans="1:5" x14ac:dyDescent="0.2">
      <c r="A22" s="234" t="s">
        <v>24</v>
      </c>
      <c r="B22" s="235" t="str">
        <f>Proj_Inputs!B5</f>
        <v>Rome (Georgia) plant expansion</v>
      </c>
      <c r="C22" s="235" t="str">
        <f>Proj_Inputs!C5</f>
        <v>Clarksville (Tennessee) plant expansion</v>
      </c>
      <c r="D22" s="235" t="s">
        <v>25</v>
      </c>
      <c r="E22" s="225"/>
    </row>
    <row r="23" spans="1:5" x14ac:dyDescent="0.2">
      <c r="A23" s="153" t="s">
        <v>26</v>
      </c>
      <c r="B23" s="250">
        <f>NPV_Pirelli!B34</f>
        <v>405.32105609434302</v>
      </c>
      <c r="C23" s="250">
        <f>NPV_Hankook!B34</f>
        <v>-89.741191139007753</v>
      </c>
      <c r="D23" s="136" t="s">
        <v>27</v>
      </c>
      <c r="E23" s="137" t="s">
        <v>28</v>
      </c>
    </row>
    <row r="24" spans="1:5" x14ac:dyDescent="0.2">
      <c r="A24" s="153" t="s">
        <v>29</v>
      </c>
      <c r="B24" s="390">
        <f>NPV_Pirelli!B36</f>
        <v>0.12190390040550114</v>
      </c>
      <c r="C24" s="390">
        <f>NPV_Hankook!B36</f>
        <v>5.3335884144312562E-2</v>
      </c>
      <c r="D24" s="136" t="s">
        <v>7</v>
      </c>
      <c r="E24" s="39"/>
    </row>
    <row r="25" spans="1:5" x14ac:dyDescent="0.2">
      <c r="A25" s="153" t="s">
        <v>30</v>
      </c>
      <c r="B25" s="390">
        <f>NPV_Pirelli!B53</f>
        <v>9.625007604264102E-2</v>
      </c>
      <c r="C25" s="390">
        <f>NPV_Hankook!B53</f>
        <v>5.6110043278008614E-2</v>
      </c>
      <c r="D25" s="136" t="s">
        <v>7</v>
      </c>
      <c r="E25" s="83" t="s">
        <v>31</v>
      </c>
    </row>
    <row r="26" spans="1:5" x14ac:dyDescent="0.2">
      <c r="A26" s="135" t="s">
        <v>32</v>
      </c>
      <c r="B26" s="240">
        <f>NPV_Pirelli!B37</f>
        <v>7.6079882707959318E-2</v>
      </c>
      <c r="C26" s="240">
        <f>NPV_Hankook!B37</f>
        <v>5.8803434196678696E-2</v>
      </c>
      <c r="D26" s="136" t="s">
        <v>7</v>
      </c>
      <c r="E26" s="39"/>
    </row>
    <row r="27" spans="1:5" x14ac:dyDescent="0.2">
      <c r="A27" s="153" t="s">
        <v>33</v>
      </c>
      <c r="B27" s="391">
        <f>NPV_Pirelli!B40</f>
        <v>1.4460971277709822</v>
      </c>
      <c r="C27" s="391">
        <f>NPV_Hankook!B40</f>
        <v>0.93701797398779507</v>
      </c>
      <c r="D27" s="136" t="s">
        <v>34</v>
      </c>
      <c r="E27" s="39"/>
    </row>
    <row r="28" spans="1:5" x14ac:dyDescent="0.2">
      <c r="A28" s="135" t="s">
        <v>35</v>
      </c>
      <c r="B28" s="251">
        <f>Risk_Analysis!B9</f>
        <v>-100.13357234454099</v>
      </c>
      <c r="C28" s="251">
        <f>Risk_Analysis!B10</f>
        <v>-643.42668639487476</v>
      </c>
      <c r="D28" s="136" t="s">
        <v>27</v>
      </c>
      <c r="E28" s="39"/>
    </row>
    <row r="29" spans="1:5" x14ac:dyDescent="0.2">
      <c r="A29" s="135" t="s">
        <v>36</v>
      </c>
      <c r="B29" s="251">
        <f>Risk_Analysis!D9</f>
        <v>740.32579617296108</v>
      </c>
      <c r="C29" s="251">
        <f>Risk_Analysis!D10</f>
        <v>254.42989459607475</v>
      </c>
      <c r="D29" s="136" t="s">
        <v>27</v>
      </c>
      <c r="E29" s="39"/>
    </row>
    <row r="30" spans="1:5" x14ac:dyDescent="0.2">
      <c r="A30" s="153" t="s">
        <v>37</v>
      </c>
      <c r="B30" s="278">
        <f>Risk_Analysis!B21</f>
        <v>5.1999999999999998E-2</v>
      </c>
      <c r="C30" s="278">
        <f>Risk_Analysis!C21</f>
        <v>0.878</v>
      </c>
      <c r="D30" s="136" t="s">
        <v>7</v>
      </c>
      <c r="E30" s="137" t="s">
        <v>38</v>
      </c>
    </row>
    <row r="31" spans="1:5" ht="16" thickBot="1" x14ac:dyDescent="0.25">
      <c r="A31" s="237" t="s">
        <v>39</v>
      </c>
      <c r="B31" s="252">
        <f>NPV_Pirelli!B58</f>
        <v>0.33955875751555709</v>
      </c>
      <c r="C31" s="252">
        <f>NPV_Hankook!B58</f>
        <v>-8.3591687431066042E-2</v>
      </c>
      <c r="D31" s="142" t="s">
        <v>7</v>
      </c>
      <c r="E31" s="143" t="s">
        <v>40</v>
      </c>
    </row>
    <row r="32" spans="1:5" ht="16" thickBot="1" x14ac:dyDescent="0.25"/>
    <row r="33" spans="1:5" ht="16" thickBot="1" x14ac:dyDescent="0.25">
      <c r="A33" s="303" t="s">
        <v>41</v>
      </c>
      <c r="B33" s="279" t="s">
        <v>3</v>
      </c>
      <c r="C33" s="302" t="s">
        <v>4</v>
      </c>
      <c r="D33" s="121" t="s">
        <v>5</v>
      </c>
      <c r="E33" s="301" t="s">
        <v>6</v>
      </c>
    </row>
    <row r="34" spans="1:5" x14ac:dyDescent="0.2">
      <c r="A34" s="281" t="s">
        <v>42</v>
      </c>
      <c r="B34" s="272">
        <f>NAV!B28</f>
        <v>5.7560709999999995</v>
      </c>
      <c r="C34" s="290">
        <f>NAV!C28</f>
        <v>90995.024792162614</v>
      </c>
      <c r="D34" s="136" t="s">
        <v>12</v>
      </c>
      <c r="E34" s="39"/>
    </row>
    <row r="35" spans="1:5" x14ac:dyDescent="0.2">
      <c r="A35" s="292" t="s">
        <v>43</v>
      </c>
      <c r="B35" s="294">
        <f>NAV!B29</f>
        <v>5.7560709999999995</v>
      </c>
      <c r="C35" s="308">
        <f>NAV!C29</f>
        <v>84835.429571117929</v>
      </c>
      <c r="D35" s="136" t="s">
        <v>12</v>
      </c>
      <c r="E35" s="39" t="s">
        <v>44</v>
      </c>
    </row>
    <row r="36" spans="1:5" ht="16" x14ac:dyDescent="0.25">
      <c r="A36" s="281" t="s">
        <v>45</v>
      </c>
      <c r="B36" s="309">
        <f>NAV!B31</f>
        <v>0.95030099524484679</v>
      </c>
      <c r="C36" s="272">
        <f>NAV!C31</f>
        <v>0.45264107453842861</v>
      </c>
      <c r="D36" s="136" t="s">
        <v>20</v>
      </c>
      <c r="E36" s="39" t="s">
        <v>46</v>
      </c>
    </row>
    <row r="37" spans="1:5" ht="17" thickBot="1" x14ac:dyDescent="0.3">
      <c r="A37" s="282" t="s">
        <v>47</v>
      </c>
      <c r="B37" s="310">
        <f>NAV!B32</f>
        <v>0</v>
      </c>
      <c r="C37" s="311">
        <f>NAV!C32</f>
        <v>-6.7691560446447752E-2</v>
      </c>
      <c r="D37" s="142" t="s">
        <v>7</v>
      </c>
      <c r="E37" s="40"/>
    </row>
  </sheetData>
  <mergeCells count="1">
    <mergeCell ref="A2:B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93AE1-848D-E44F-810E-7B41E8759235}">
  <dimension ref="A1:L29"/>
  <sheetViews>
    <sheetView zoomScale="125" workbookViewId="0"/>
  </sheetViews>
  <sheetFormatPr baseColWidth="10" defaultColWidth="11.5" defaultRowHeight="15" x14ac:dyDescent="0.2"/>
  <cols>
    <col min="1" max="1" width="50.83203125" customWidth="1"/>
    <col min="2" max="2" width="30.83203125" customWidth="1"/>
    <col min="3" max="4" width="20.83203125" customWidth="1"/>
  </cols>
  <sheetData>
    <row r="1" spans="1:12" x14ac:dyDescent="0.2">
      <c r="A1" s="1" t="s">
        <v>48</v>
      </c>
    </row>
    <row r="2" spans="1:12" ht="16" thickBot="1" x14ac:dyDescent="0.25"/>
    <row r="3" spans="1:12" ht="16" thickBot="1" x14ac:dyDescent="0.25">
      <c r="A3" s="24" t="s">
        <v>49</v>
      </c>
      <c r="B3" s="31" t="s">
        <v>3</v>
      </c>
      <c r="C3" s="32" t="s">
        <v>4</v>
      </c>
      <c r="D3" s="94" t="s">
        <v>5</v>
      </c>
      <c r="E3" s="407" t="s">
        <v>50</v>
      </c>
      <c r="F3" s="408"/>
      <c r="G3" s="408"/>
      <c r="H3" s="408"/>
      <c r="I3" s="408"/>
      <c r="J3" s="408"/>
      <c r="K3" s="408"/>
      <c r="L3" s="409"/>
    </row>
    <row r="4" spans="1:12" x14ac:dyDescent="0.2">
      <c r="A4" s="18" t="s">
        <v>51</v>
      </c>
      <c r="B4" s="50">
        <v>2.3599999999999999E-2</v>
      </c>
      <c r="C4" s="56">
        <v>2.3599999999999999E-2</v>
      </c>
      <c r="D4" s="95" t="s">
        <v>7</v>
      </c>
      <c r="E4" s="423" t="str">
        <f>HYPERLINK("https://www.bundesbank.de/resource/blob/945418/7d4449db7e1a9c1926c3c74425c579f2/472B63F073F071307366337C94F8C870/2025-01-02-rendite-download.pdf", "Deutsche Bundesbank, daily yields of listed Federal securities, 02/01/2025: 10-year Bund yield 2,36%")</f>
        <v>Deutsche Bundesbank, daily yields of listed Federal securities, 02/01/2025: 10-year Bund yield 2,36%</v>
      </c>
      <c r="F4" s="424"/>
      <c r="G4" s="424"/>
      <c r="H4" s="424"/>
      <c r="I4" s="424"/>
      <c r="J4" s="424"/>
      <c r="K4" s="424"/>
      <c r="L4" s="425"/>
    </row>
    <row r="5" spans="1:12" x14ac:dyDescent="0.2">
      <c r="A5" s="18" t="s">
        <v>52</v>
      </c>
      <c r="B5" s="50">
        <v>4.3299999999999998E-2</v>
      </c>
      <c r="C5" s="56">
        <v>4.3299999999999998E-2</v>
      </c>
      <c r="D5" s="95" t="s">
        <v>7</v>
      </c>
      <c r="E5" s="423" t="str">
        <f>HYPERLINK("https://pages.stern.nyu.edu/~adamodar/pc/archives/ctryprem24.xlsx", "Damodaran, ctryprem24.xlsx, sheet 'ERPs by country', update 01/01/2025")</f>
        <v>Damodaran, ctryprem24.xlsx, sheet 'ERPs by country', update 01/01/2025</v>
      </c>
      <c r="F5" s="424"/>
      <c r="G5" s="424"/>
      <c r="H5" s="424"/>
      <c r="I5" s="424"/>
      <c r="J5" s="424"/>
      <c r="K5" s="424"/>
      <c r="L5" s="425"/>
    </row>
    <row r="6" spans="1:12" x14ac:dyDescent="0.2">
      <c r="A6" s="18" t="s">
        <v>53</v>
      </c>
      <c r="B6" s="51">
        <v>2.9332E-2</v>
      </c>
      <c r="C6" s="57">
        <v>6.5880000000000001E-3</v>
      </c>
      <c r="D6" s="95" t="s">
        <v>7</v>
      </c>
      <c r="E6" s="423" t="str">
        <f>HYPERLINK("https://pages.stern.nyu.edu/~adamodar/pc/archives/ctryprem24.xlsx", "Damodaran, ctryprem24.xlsx, sheet 'ERPs by country', update 01/01/2025")</f>
        <v>Damodaran, ctryprem24.xlsx, sheet 'ERPs by country', update 01/01/2025</v>
      </c>
      <c r="F6" s="424"/>
      <c r="G6" s="424"/>
      <c r="H6" s="424"/>
      <c r="I6" s="424"/>
      <c r="J6" s="424"/>
      <c r="K6" s="424"/>
      <c r="L6" s="425"/>
    </row>
    <row r="7" spans="1:12" x14ac:dyDescent="0.2">
      <c r="A7" s="18" t="s">
        <v>54</v>
      </c>
      <c r="B7" s="51">
        <v>2.1767999999999999E-2</v>
      </c>
      <c r="C7" s="57">
        <v>4.8890000000000001E-3</v>
      </c>
      <c r="D7" s="95" t="s">
        <v>7</v>
      </c>
      <c r="E7" s="423" t="str">
        <f>HYPERLINK("https://pages.stern.nyu.edu/~adamodar/pc/archives/ctryprem24.xlsx", "Damodaran, ctryprem24.xlsx, sheet 'ERPs by country', update 01/01/2025")</f>
        <v>Damodaran, ctryprem24.xlsx, sheet 'ERPs by country', update 01/01/2025</v>
      </c>
      <c r="F7" s="424"/>
      <c r="G7" s="424"/>
      <c r="H7" s="424"/>
      <c r="I7" s="424"/>
      <c r="J7" s="424"/>
      <c r="K7" s="424"/>
      <c r="L7" s="425"/>
    </row>
    <row r="8" spans="1:12" x14ac:dyDescent="0.2">
      <c r="A8" s="18" t="s">
        <v>55</v>
      </c>
      <c r="B8" s="52" t="s">
        <v>56</v>
      </c>
      <c r="C8" s="58" t="s">
        <v>57</v>
      </c>
      <c r="D8" s="95"/>
      <c r="E8" s="97" t="str">
        <f>HYPERLINK("https://corp-assets.pirelli.com/corporate/Annual_Report_Pirelli_2024_ENG.pdf", "Pirelli: Annual Report 2024")</f>
        <v>Pirelli: Annual Report 2024</v>
      </c>
      <c r="H8" s="2" t="s">
        <v>58</v>
      </c>
      <c r="I8" s="46" t="str">
        <f>HYPERLINK("https://www.hankooktire.com/global/en/investors/financial-information-results/credit-ratings.html", "Hankook: hankooktire.com, Investors &gt; Credit ratings")</f>
        <v>Hankook: hankooktire.com, Investors &gt; Credit ratings</v>
      </c>
      <c r="L8" s="39"/>
    </row>
    <row r="9" spans="1:12" x14ac:dyDescent="0.2">
      <c r="A9" s="18" t="s">
        <v>59</v>
      </c>
      <c r="B9" s="51">
        <v>1.4E-2</v>
      </c>
      <c r="C9" s="57">
        <v>1.2E-2</v>
      </c>
      <c r="D9" s="95" t="s">
        <v>7</v>
      </c>
      <c r="E9" s="423" t="str">
        <f>HYPERLINK("https://pages.stern.nyu.edu/~adamodar/pc/archives/bondspreads24.xlsx", "Damodaran, bondspreads24.xlsx, 'Spread 2025': BBB- = 1,40%, Baa2/BBB = 1,20%")</f>
        <v>Damodaran, bondspreads24.xlsx, 'Spread 2025': BBB- = 1,40%, Baa2/BBB = 1,20%</v>
      </c>
      <c r="F9" s="424"/>
      <c r="G9" s="424"/>
      <c r="H9" s="424"/>
      <c r="I9" s="424"/>
      <c r="J9" s="424"/>
      <c r="K9" s="424"/>
      <c r="L9" s="425"/>
    </row>
    <row r="10" spans="1:12" x14ac:dyDescent="0.2">
      <c r="A10" s="18" t="s">
        <v>60</v>
      </c>
      <c r="B10" s="53">
        <v>1000</v>
      </c>
      <c r="C10" s="59">
        <v>121.988753</v>
      </c>
      <c r="D10" s="95" t="s">
        <v>61</v>
      </c>
      <c r="E10" s="97" t="str">
        <f>HYPERLINK("https://corporate.pirelli.com/corporate/en-ww/investors/shareholder-information/share-capital-eng", "Pirelli: pirelli.com, Share Capital")</f>
        <v>Pirelli: pirelli.com, Share Capital</v>
      </c>
      <c r="H10" s="2" t="s">
        <v>58</v>
      </c>
      <c r="I10" s="46" t="str">
        <f>HYPERLINK("https://www.hankooktire.com/global/ko/investors/shares-shareholders/distribution-shares.html", "Hankook: hankooktire.com, distribution of shares")</f>
        <v>Hankook: hankooktire.com, distribution of shares</v>
      </c>
      <c r="K10" s="2"/>
      <c r="L10" s="39"/>
    </row>
    <row r="11" spans="1:12" x14ac:dyDescent="0.2">
      <c r="A11" s="18" t="s">
        <v>62</v>
      </c>
      <c r="B11" s="54">
        <v>5.47</v>
      </c>
      <c r="C11" s="60">
        <v>38400</v>
      </c>
      <c r="D11" s="95" t="s">
        <v>63</v>
      </c>
      <c r="E11" s="97" t="str">
        <f>HYPERLINK("https://finance.yahoo.com/quote/PIRC.MI/history/", "Yahoo Finance historical prices: PIRC.MI")</f>
        <v>Yahoo Finance historical prices: PIRC.MI</v>
      </c>
      <c r="H11" s="2" t="s">
        <v>58</v>
      </c>
      <c r="I11" s="46" t="str">
        <f>HYPERLINK("https://finance.yahoo.com/quote/161390.KS/history/", "Yahoo Finance historical prices: 161390.KS")</f>
        <v>Yahoo Finance historical prices: 161390.KS</v>
      </c>
      <c r="L11" s="39"/>
    </row>
    <row r="12" spans="1:12" x14ac:dyDescent="0.2">
      <c r="A12" s="18" t="s">
        <v>64</v>
      </c>
      <c r="B12" s="52"/>
      <c r="C12" s="61">
        <f>1/(6.7778229632642E-07*1000)</f>
        <v>1475.4</v>
      </c>
      <c r="D12" s="95" t="s">
        <v>65</v>
      </c>
      <c r="E12" s="429" t="str">
        <f>HYPERLINK("https://www.bundesbank.de/resource/blob/810486/a6f85aac3ac47b07ea32eae66e4bfa82/mL/ii-euro-referenzkurse-der-ezb-data.pdf", "Deutsche Bundesbank, Exchange rate statistics, Table 3: ECB 2024 annual average")</f>
        <v>Deutsche Bundesbank, Exchange rate statistics, Table 3: ECB 2024 annual average</v>
      </c>
      <c r="F12" s="430"/>
      <c r="G12" s="430"/>
      <c r="H12" s="430"/>
      <c r="I12" s="430"/>
      <c r="J12" s="430"/>
      <c r="K12" s="430"/>
      <c r="L12" s="431"/>
    </row>
    <row r="13" spans="1:12" x14ac:dyDescent="0.2">
      <c r="A13" s="18" t="s">
        <v>66</v>
      </c>
      <c r="B13" s="52"/>
      <c r="C13" s="58">
        <v>1532.15</v>
      </c>
      <c r="D13" s="95" t="s">
        <v>65</v>
      </c>
      <c r="E13" s="423" t="str">
        <f>HYPERLINK("https://www.ecb.europa.eu/stats/exchange/eurofxref/shared/pdf/2024/12/20241231.pdf", "ECB euro reference rates, 31/12/2024. Not used in calculations")</f>
        <v>ECB euro reference rates, 31/12/2024. Not used in calculations</v>
      </c>
      <c r="F13" s="424"/>
      <c r="G13" s="424"/>
      <c r="H13" s="424"/>
      <c r="I13" s="424"/>
      <c r="J13" s="424"/>
      <c r="K13" s="424"/>
      <c r="L13" s="425"/>
    </row>
    <row r="14" spans="1:12" ht="16" thickBot="1" x14ac:dyDescent="0.25">
      <c r="A14" s="76" t="s">
        <v>67</v>
      </c>
      <c r="B14" s="315">
        <v>0.02</v>
      </c>
      <c r="C14" s="316">
        <v>0.02</v>
      </c>
      <c r="D14" s="96" t="s">
        <v>7</v>
      </c>
      <c r="E14" s="415" t="s">
        <v>68</v>
      </c>
      <c r="F14" s="413"/>
      <c r="G14" s="413"/>
      <c r="H14" s="413"/>
      <c r="I14" s="413"/>
      <c r="J14" s="413"/>
      <c r="K14" s="413"/>
      <c r="L14" s="414"/>
    </row>
    <row r="15" spans="1:12" ht="16" thickBot="1" x14ac:dyDescent="0.25">
      <c r="B15" s="2"/>
      <c r="C15" s="2"/>
      <c r="D15" s="2"/>
    </row>
    <row r="16" spans="1:12" ht="16" thickBot="1" x14ac:dyDescent="0.25">
      <c r="A16" s="24" t="s">
        <v>69</v>
      </c>
      <c r="B16" s="69" t="s">
        <v>3</v>
      </c>
      <c r="C16" s="32" t="s">
        <v>4</v>
      </c>
      <c r="D16" s="94" t="s">
        <v>5</v>
      </c>
      <c r="E16" s="407" t="s">
        <v>50</v>
      </c>
      <c r="F16" s="408"/>
      <c r="G16" s="408"/>
      <c r="H16" s="408"/>
      <c r="I16" s="408"/>
      <c r="J16" s="408"/>
      <c r="K16" s="408"/>
      <c r="L16" s="409"/>
    </row>
    <row r="17" spans="1:12" x14ac:dyDescent="0.2">
      <c r="A17" s="18" t="s">
        <v>70</v>
      </c>
      <c r="B17" s="67">
        <f>B11*B10</f>
        <v>5470</v>
      </c>
      <c r="C17" s="64">
        <f>C11*C10</f>
        <v>4684368.1151999999</v>
      </c>
      <c r="D17" s="95" t="s">
        <v>71</v>
      </c>
      <c r="E17" s="410" t="s">
        <v>72</v>
      </c>
      <c r="F17" s="411"/>
      <c r="G17" s="411"/>
      <c r="H17" s="411"/>
      <c r="I17" s="411"/>
      <c r="J17" s="411"/>
      <c r="K17" s="411"/>
      <c r="L17" s="412"/>
    </row>
    <row r="18" spans="1:12" ht="16" thickBot="1" x14ac:dyDescent="0.25">
      <c r="A18" s="19" t="s">
        <v>73</v>
      </c>
      <c r="B18" s="68">
        <f>B17*1000</f>
        <v>5470000</v>
      </c>
      <c r="C18" s="65">
        <f>C17*1000/C12</f>
        <v>3174981.7779585193</v>
      </c>
      <c r="D18" s="96" t="s">
        <v>74</v>
      </c>
      <c r="E18" s="415" t="s">
        <v>75</v>
      </c>
      <c r="F18" s="413"/>
      <c r="G18" s="413"/>
      <c r="H18" s="413"/>
      <c r="I18" s="413"/>
      <c r="J18" s="413"/>
      <c r="K18" s="413"/>
      <c r="L18" s="414"/>
    </row>
    <row r="19" spans="1:12" ht="16" thickBot="1" x14ac:dyDescent="0.25">
      <c r="B19" s="2"/>
      <c r="C19" s="2"/>
      <c r="D19" s="2"/>
    </row>
    <row r="20" spans="1:12" ht="16" thickBot="1" x14ac:dyDescent="0.25">
      <c r="A20" s="24" t="s">
        <v>76</v>
      </c>
      <c r="B20" s="31" t="s">
        <v>3</v>
      </c>
      <c r="C20" s="32" t="s">
        <v>4</v>
      </c>
      <c r="D20" s="94" t="s">
        <v>5</v>
      </c>
      <c r="E20" s="407" t="s">
        <v>50</v>
      </c>
      <c r="F20" s="408"/>
      <c r="G20" s="408"/>
      <c r="H20" s="408"/>
      <c r="I20" s="408"/>
      <c r="J20" s="408"/>
      <c r="K20" s="408"/>
      <c r="L20" s="409"/>
    </row>
    <row r="21" spans="1:12" x14ac:dyDescent="0.2">
      <c r="A21" s="18" t="s">
        <v>77</v>
      </c>
      <c r="B21" s="50">
        <f>B5+B6</f>
        <v>7.2632000000000002E-2</v>
      </c>
      <c r="C21" s="56">
        <f>C5+C6</f>
        <v>4.9888000000000002E-2</v>
      </c>
      <c r="D21" s="95" t="s">
        <v>7</v>
      </c>
      <c r="E21" s="420" t="str">
        <f>HYPERLINK("https://pages.stern.nyu.edu/~adamodar/pc/archives/ctryprem24.xlsx", "Damodaran, ctryprem24.xlsx, 'Total Equity Risk Premium', 01/01/2025")</f>
        <v>Damodaran, ctryprem24.xlsx, 'Total Equity Risk Premium', 01/01/2025</v>
      </c>
      <c r="F21" s="421"/>
      <c r="G21" s="421"/>
      <c r="H21" s="421"/>
      <c r="I21" s="421"/>
      <c r="J21" s="421"/>
      <c r="K21" s="421"/>
      <c r="L21" s="422"/>
    </row>
    <row r="22" spans="1:12" x14ac:dyDescent="0.2">
      <c r="A22" s="18" t="s">
        <v>78</v>
      </c>
      <c r="B22" s="52">
        <v>0.76252399999999998</v>
      </c>
      <c r="C22" s="58">
        <v>0.76252399999999998</v>
      </c>
      <c r="D22" s="95" t="s">
        <v>34</v>
      </c>
      <c r="E22" s="423" t="str">
        <f>HYPERLINK("https://pages.stern.nyu.edu/~adamodar/pc/archives/betaGlobal24.xls", "Damodaran, betaGlobal24.xls (05/01/2025), Rubber &amp; Tires, 92 firms, unlevered beta corrected for cash")</f>
        <v>Damodaran, betaGlobal24.xls (05/01/2025), Rubber &amp; Tires, 92 firms, unlevered beta corrected for cash</v>
      </c>
      <c r="F22" s="424"/>
      <c r="G22" s="424"/>
      <c r="H22" s="424"/>
      <c r="I22" s="424"/>
      <c r="J22" s="424"/>
      <c r="K22" s="424"/>
      <c r="L22" s="425"/>
    </row>
    <row r="23" spans="1:12" x14ac:dyDescent="0.2">
      <c r="A23" s="75" t="s">
        <v>79</v>
      </c>
      <c r="B23" s="317">
        <v>0</v>
      </c>
      <c r="C23" s="318">
        <v>0</v>
      </c>
      <c r="D23" s="95" t="s">
        <v>34</v>
      </c>
      <c r="E23" s="410" t="s">
        <v>80</v>
      </c>
      <c r="F23" s="411"/>
      <c r="G23" s="411"/>
      <c r="H23" s="411"/>
      <c r="I23" s="411"/>
      <c r="J23" s="411"/>
      <c r="K23" s="411"/>
      <c r="L23" s="412"/>
    </row>
    <row r="24" spans="1:12" ht="16" thickBot="1" x14ac:dyDescent="0.25">
      <c r="A24" s="19" t="s">
        <v>81</v>
      </c>
      <c r="B24" s="55">
        <v>0.22639999999999999</v>
      </c>
      <c r="C24" s="62">
        <v>0.28129999999999999</v>
      </c>
      <c r="D24" s="96" t="s">
        <v>7</v>
      </c>
      <c r="E24" s="98" t="str">
        <f>HYPERLINK("https://corp-assets.pirelli.com/corporate/Annual_Report_Pirelli_2024_ENG.pdf", "Pirelli: Annual Report 2024")</f>
        <v>Pirelli: Annual Report 2024</v>
      </c>
      <c r="F24" s="48"/>
      <c r="G24" s="49"/>
      <c r="H24" s="47" t="s">
        <v>58</v>
      </c>
      <c r="I24" s="66" t="str">
        <f>HYPERLINK("https://www.hankooktire.com/wsvc/api/pdf-viewer/document.servlet?documentPath=/content/dam/hankooktire/global/pdf/audit/2024_HankookTire_Technology_Consolidated_Audit_Report.pdf", "Hankook: Consolidated Audit Report 2024")</f>
        <v>Hankook: Consolidated Audit Report 2024</v>
      </c>
      <c r="J24" s="49"/>
      <c r="K24" s="49"/>
      <c r="L24" s="40"/>
    </row>
    <row r="25" spans="1:12" ht="16" thickBot="1" x14ac:dyDescent="0.25"/>
    <row r="26" spans="1:12" ht="16" thickBot="1" x14ac:dyDescent="0.25">
      <c r="A26" s="24" t="s">
        <v>82</v>
      </c>
      <c r="B26" s="69" t="s">
        <v>3</v>
      </c>
      <c r="C26" s="32" t="s">
        <v>4</v>
      </c>
      <c r="D26" s="94" t="s">
        <v>5</v>
      </c>
      <c r="E26" s="407" t="s">
        <v>50</v>
      </c>
      <c r="F26" s="408"/>
      <c r="G26" s="408"/>
      <c r="H26" s="408"/>
      <c r="I26" s="408"/>
      <c r="J26" s="408"/>
      <c r="K26" s="408"/>
      <c r="L26" s="409"/>
    </row>
    <row r="27" spans="1:12" x14ac:dyDescent="0.2">
      <c r="A27" s="18" t="s">
        <v>83</v>
      </c>
      <c r="B27" s="80">
        <v>0.91304200000000002</v>
      </c>
      <c r="C27" s="61">
        <v>0.91304200000000002</v>
      </c>
      <c r="D27" s="95" t="s">
        <v>34</v>
      </c>
      <c r="E27" s="420" t="str">
        <f>HYPERLINK("https://pages.stern.nyu.edu/~adamodar/pc/archives/betaGlobal24.xls", "Damodaran, betaGlobal24.xls (05/01/2025), sheet 'Industry Averages', Rubber &amp; Tires (92 firms), cell C87 'Beta'")</f>
        <v>Damodaran, betaGlobal24.xls (05/01/2025), sheet 'Industry Averages', Rubber &amp; Tires (92 firms), cell C87 'Beta'</v>
      </c>
      <c r="F27" s="421"/>
      <c r="G27" s="421"/>
      <c r="H27" s="421"/>
      <c r="I27" s="421"/>
      <c r="J27" s="421"/>
      <c r="K27" s="421"/>
      <c r="L27" s="422"/>
    </row>
    <row r="28" spans="1:12" x14ac:dyDescent="0.2">
      <c r="A28" s="18" t="s">
        <v>84</v>
      </c>
      <c r="B28" s="81">
        <v>0.45654299999999998</v>
      </c>
      <c r="C28" s="70">
        <v>0.45654299999999998</v>
      </c>
      <c r="D28" s="95" t="s">
        <v>7</v>
      </c>
      <c r="E28" s="423" t="str">
        <f>HYPERLINK("https://pages.stern.nyu.edu/~adamodar/pc/archives/betaGlobal24.xls", "Damodaran, betaGlobal24.xls (05/01/2025), sheet 'Industry Averages', Rubber &amp; Tires, cell D87 'D/E Ratio'")</f>
        <v>Damodaran, betaGlobal24.xls (05/01/2025), sheet 'Industry Averages', Rubber &amp; Tires, cell D87 'D/E Ratio'</v>
      </c>
      <c r="F28" s="424"/>
      <c r="G28" s="424"/>
      <c r="H28" s="424"/>
      <c r="I28" s="424"/>
      <c r="J28" s="424"/>
      <c r="K28" s="424"/>
      <c r="L28" s="425"/>
    </row>
    <row r="29" spans="1:12" ht="16" thickBot="1" x14ac:dyDescent="0.25">
      <c r="A29" s="19" t="s">
        <v>85</v>
      </c>
      <c r="B29" s="82">
        <v>0.10705199999999999</v>
      </c>
      <c r="C29" s="71">
        <v>0.10705199999999999</v>
      </c>
      <c r="D29" s="96" t="s">
        <v>7</v>
      </c>
      <c r="E29" s="426" t="str">
        <f>HYPERLINK("https://pages.stern.nyu.edu/~adamodar/pc/archives/betaGlobal24.xls", "Damodaran, betaGlobal24.xls (05/01/2025), sheet 'Industry Averages', Rubber &amp; Tires, cell G87 'Cash/Firm Value'")</f>
        <v>Damodaran, betaGlobal24.xls (05/01/2025), sheet 'Industry Averages', Rubber &amp; Tires, cell G87 'Cash/Firm Value'</v>
      </c>
      <c r="F29" s="427"/>
      <c r="G29" s="427"/>
      <c r="H29" s="427"/>
      <c r="I29" s="427"/>
      <c r="J29" s="427"/>
      <c r="K29" s="427"/>
      <c r="L29" s="428"/>
    </row>
  </sheetData>
  <mergeCells count="20">
    <mergeCell ref="E3:L3"/>
    <mergeCell ref="E16:L16"/>
    <mergeCell ref="E20:L20"/>
    <mergeCell ref="E17:L17"/>
    <mergeCell ref="E18:L18"/>
    <mergeCell ref="E4:L4"/>
    <mergeCell ref="E5:L5"/>
    <mergeCell ref="E6:L6"/>
    <mergeCell ref="E7:L7"/>
    <mergeCell ref="E9:L9"/>
    <mergeCell ref="E13:L13"/>
    <mergeCell ref="E27:L27"/>
    <mergeCell ref="E28:L28"/>
    <mergeCell ref="E29:L29"/>
    <mergeCell ref="E14:L14"/>
    <mergeCell ref="E12:L12"/>
    <mergeCell ref="E26:L26"/>
    <mergeCell ref="E23:L23"/>
    <mergeCell ref="E21:L21"/>
    <mergeCell ref="E22:L2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75D3A7-B7D9-6249-8196-521906516A0B}">
  <dimension ref="A1:S25"/>
  <sheetViews>
    <sheetView zoomScale="162" workbookViewId="0"/>
  </sheetViews>
  <sheetFormatPr baseColWidth="10" defaultColWidth="11.5" defaultRowHeight="15" x14ac:dyDescent="0.2"/>
  <cols>
    <col min="1" max="1" width="30.83203125" customWidth="1"/>
  </cols>
  <sheetData>
    <row r="1" spans="1:19" x14ac:dyDescent="0.2">
      <c r="A1" s="1" t="s">
        <v>86</v>
      </c>
    </row>
    <row r="2" spans="1:19" x14ac:dyDescent="0.2">
      <c r="A2" s="411" t="s">
        <v>565</v>
      </c>
      <c r="B2" s="411"/>
      <c r="C2" s="411"/>
      <c r="D2" s="411"/>
      <c r="E2" s="411"/>
      <c r="F2" s="411"/>
    </row>
    <row r="3" spans="1:19" ht="16" thickBot="1" x14ac:dyDescent="0.25"/>
    <row r="4" spans="1:19" ht="16" thickBot="1" x14ac:dyDescent="0.25">
      <c r="B4" s="404" t="s">
        <v>3</v>
      </c>
      <c r="C4" s="405"/>
      <c r="D4" s="406"/>
      <c r="E4" s="402" t="s">
        <v>4</v>
      </c>
      <c r="F4" s="402"/>
      <c r="G4" s="402"/>
      <c r="H4" s="404" t="s">
        <v>3</v>
      </c>
      <c r="I4" s="405"/>
      <c r="J4" s="405"/>
      <c r="K4" s="405"/>
      <c r="L4" s="405"/>
      <c r="M4" s="406"/>
      <c r="N4" s="401" t="s">
        <v>4</v>
      </c>
      <c r="O4" s="402"/>
      <c r="P4" s="402"/>
      <c r="Q4" s="402"/>
      <c r="R4" s="402"/>
      <c r="S4" s="403"/>
    </row>
    <row r="5" spans="1:19" ht="16" thickBot="1" x14ac:dyDescent="0.25">
      <c r="A5" s="24" t="s">
        <v>552</v>
      </c>
      <c r="B5" s="21">
        <v>2022</v>
      </c>
      <c r="C5" s="22">
        <v>2023</v>
      </c>
      <c r="D5" s="23">
        <v>2024</v>
      </c>
      <c r="E5" s="101">
        <v>2022</v>
      </c>
      <c r="F5" s="22">
        <v>2023</v>
      </c>
      <c r="G5" s="121">
        <v>2024</v>
      </c>
      <c r="H5" s="407" t="s">
        <v>87</v>
      </c>
      <c r="I5" s="408"/>
      <c r="J5" s="408"/>
      <c r="K5" s="408"/>
      <c r="L5" s="408"/>
      <c r="M5" s="409"/>
      <c r="N5" s="407" t="s">
        <v>87</v>
      </c>
      <c r="O5" s="408"/>
      <c r="P5" s="408"/>
      <c r="Q5" s="408"/>
      <c r="R5" s="408"/>
      <c r="S5" s="409"/>
    </row>
    <row r="6" spans="1:19" x14ac:dyDescent="0.2">
      <c r="A6" s="17" t="s">
        <v>88</v>
      </c>
      <c r="B6" s="7">
        <v>6615727</v>
      </c>
      <c r="C6" s="11">
        <v>6650063</v>
      </c>
      <c r="D6" s="4">
        <v>6773324</v>
      </c>
      <c r="E6" s="123">
        <v>6180980</v>
      </c>
      <c r="F6" s="20">
        <v>6327233</v>
      </c>
      <c r="G6" s="78">
        <v>6379252</v>
      </c>
      <c r="H6" s="416" t="s">
        <v>89</v>
      </c>
      <c r="I6" s="417"/>
      <c r="J6" s="417"/>
      <c r="K6" s="417"/>
      <c r="L6" s="417"/>
      <c r="M6" s="418"/>
      <c r="N6" s="411" t="s">
        <v>90</v>
      </c>
      <c r="O6" s="411"/>
      <c r="P6" s="411"/>
      <c r="Q6" s="411"/>
      <c r="R6" s="411"/>
      <c r="S6" s="412"/>
    </row>
    <row r="7" spans="1:19" x14ac:dyDescent="0.2">
      <c r="A7" s="18" t="s">
        <v>91</v>
      </c>
      <c r="B7" s="7">
        <v>791482</v>
      </c>
      <c r="C7" s="11">
        <v>808327</v>
      </c>
      <c r="D7" s="4">
        <v>902990</v>
      </c>
      <c r="E7" s="122">
        <v>519721</v>
      </c>
      <c r="F7" s="11">
        <v>939885</v>
      </c>
      <c r="G7" s="78">
        <v>1194429</v>
      </c>
      <c r="H7" s="410" t="s">
        <v>89</v>
      </c>
      <c r="I7" s="411"/>
      <c r="J7" s="411"/>
      <c r="K7" s="411"/>
      <c r="L7" s="411"/>
      <c r="M7" s="412"/>
      <c r="N7" s="411" t="s">
        <v>90</v>
      </c>
      <c r="O7" s="411"/>
      <c r="P7" s="411"/>
      <c r="Q7" s="411"/>
      <c r="R7" s="411"/>
      <c r="S7" s="412"/>
    </row>
    <row r="8" spans="1:19" x14ac:dyDescent="0.2">
      <c r="A8" s="18" t="s">
        <v>92</v>
      </c>
      <c r="B8" s="7">
        <v>566689</v>
      </c>
      <c r="C8" s="11">
        <v>588463</v>
      </c>
      <c r="D8" s="4">
        <v>574950</v>
      </c>
      <c r="E8" s="122">
        <v>394584</v>
      </c>
      <c r="F8" s="11">
        <v>357993</v>
      </c>
      <c r="G8" s="78">
        <v>349082</v>
      </c>
      <c r="H8" s="410" t="s">
        <v>89</v>
      </c>
      <c r="I8" s="411"/>
      <c r="J8" s="411"/>
      <c r="K8" s="411"/>
      <c r="L8" s="411"/>
      <c r="M8" s="412"/>
      <c r="N8" s="411" t="s">
        <v>90</v>
      </c>
      <c r="O8" s="411"/>
      <c r="P8" s="411"/>
      <c r="Q8" s="411"/>
      <c r="R8" s="411"/>
      <c r="S8" s="412"/>
    </row>
    <row r="9" spans="1:19" x14ac:dyDescent="0.2">
      <c r="A9" s="18" t="s">
        <v>93</v>
      </c>
      <c r="B9" s="7">
        <v>335403</v>
      </c>
      <c r="C9" s="11">
        <v>399036</v>
      </c>
      <c r="D9" s="4">
        <v>403673</v>
      </c>
      <c r="E9" s="122">
        <v>226581</v>
      </c>
      <c r="F9" s="11">
        <v>303605</v>
      </c>
      <c r="G9" s="78">
        <v>706804</v>
      </c>
      <c r="H9" s="410" t="s">
        <v>94</v>
      </c>
      <c r="I9" s="411"/>
      <c r="J9" s="411"/>
      <c r="K9" s="411"/>
      <c r="L9" s="411"/>
      <c r="M9" s="412"/>
      <c r="N9" s="411" t="s">
        <v>95</v>
      </c>
      <c r="O9" s="411"/>
      <c r="P9" s="411"/>
      <c r="Q9" s="411"/>
      <c r="R9" s="411"/>
      <c r="S9" s="412"/>
    </row>
    <row r="10" spans="1:19" x14ac:dyDescent="0.2">
      <c r="A10" s="18" t="s">
        <v>96</v>
      </c>
      <c r="B10" s="7">
        <v>1457711</v>
      </c>
      <c r="C10" s="11">
        <v>1371436</v>
      </c>
      <c r="D10" s="4">
        <v>1467707</v>
      </c>
      <c r="E10" s="122">
        <v>1803696</v>
      </c>
      <c r="F10" s="11">
        <v>1431563</v>
      </c>
      <c r="G10" s="78">
        <v>1615727</v>
      </c>
      <c r="H10" s="410" t="s">
        <v>97</v>
      </c>
      <c r="I10" s="411"/>
      <c r="J10" s="411"/>
      <c r="K10" s="411"/>
      <c r="L10" s="411"/>
      <c r="M10" s="412"/>
      <c r="N10" s="411" t="s">
        <v>98</v>
      </c>
      <c r="O10" s="411"/>
      <c r="P10" s="411"/>
      <c r="Q10" s="411"/>
      <c r="R10" s="411"/>
      <c r="S10" s="412"/>
    </row>
    <row r="11" spans="1:19" x14ac:dyDescent="0.2">
      <c r="A11" s="18" t="s">
        <v>99</v>
      </c>
      <c r="B11" s="7">
        <v>636446</v>
      </c>
      <c r="C11" s="11">
        <v>649406</v>
      </c>
      <c r="D11" s="4">
        <v>622915</v>
      </c>
      <c r="E11" s="122">
        <v>1259222</v>
      </c>
      <c r="F11" s="11">
        <v>1326119</v>
      </c>
      <c r="G11" s="78">
        <v>1398471</v>
      </c>
      <c r="H11" s="410" t="s">
        <v>97</v>
      </c>
      <c r="I11" s="411"/>
      <c r="J11" s="411"/>
      <c r="K11" s="411"/>
      <c r="L11" s="411"/>
      <c r="M11" s="412"/>
      <c r="N11" s="411" t="s">
        <v>98</v>
      </c>
      <c r="O11" s="411"/>
      <c r="P11" s="411"/>
      <c r="Q11" s="411"/>
      <c r="R11" s="411"/>
      <c r="S11" s="412"/>
    </row>
    <row r="12" spans="1:19" x14ac:dyDescent="0.2">
      <c r="A12" s="18" t="s">
        <v>100</v>
      </c>
      <c r="B12" s="7">
        <v>1973296</v>
      </c>
      <c r="C12" s="11">
        <v>1999418</v>
      </c>
      <c r="D12" s="4">
        <v>2081617</v>
      </c>
      <c r="E12" s="122">
        <v>891581</v>
      </c>
      <c r="F12" s="11">
        <v>923606</v>
      </c>
      <c r="G12" s="78">
        <v>1007495</v>
      </c>
      <c r="H12" s="410" t="s">
        <v>97</v>
      </c>
      <c r="I12" s="411"/>
      <c r="J12" s="411"/>
      <c r="K12" s="411"/>
      <c r="L12" s="411"/>
      <c r="M12" s="412"/>
      <c r="N12" s="411" t="s">
        <v>98</v>
      </c>
      <c r="O12" s="411"/>
      <c r="P12" s="411"/>
      <c r="Q12" s="411"/>
      <c r="R12" s="411"/>
      <c r="S12" s="412"/>
    </row>
    <row r="13" spans="1:19" x14ac:dyDescent="0.2">
      <c r="A13" s="18" t="s">
        <v>101</v>
      </c>
      <c r="B13" s="7">
        <f>B10+B11-B12</f>
        <v>120861</v>
      </c>
      <c r="C13" s="11">
        <f>C10+C11-C12</f>
        <v>21424</v>
      </c>
      <c r="D13" s="4">
        <f>D10+D11-D12</f>
        <v>9005</v>
      </c>
      <c r="E13" s="122">
        <f>E10+E11-E12</f>
        <v>2171337</v>
      </c>
      <c r="F13" s="11">
        <f>F10+F11-F12</f>
        <v>1834076</v>
      </c>
      <c r="G13" s="78">
        <f t="shared" ref="G13" si="0">G10+G11-G12</f>
        <v>2006703</v>
      </c>
      <c r="H13" s="410"/>
      <c r="I13" s="411"/>
      <c r="J13" s="411"/>
      <c r="K13" s="411"/>
      <c r="L13" s="411"/>
      <c r="M13" s="412"/>
      <c r="N13" s="411"/>
      <c r="O13" s="411"/>
      <c r="P13" s="411"/>
      <c r="Q13" s="411"/>
      <c r="R13" s="411"/>
      <c r="S13" s="412"/>
    </row>
    <row r="14" spans="1:19" x14ac:dyDescent="0.2">
      <c r="A14" s="18" t="s">
        <v>102</v>
      </c>
      <c r="B14" s="7">
        <v>4490500</v>
      </c>
      <c r="C14" s="11">
        <v>3964205</v>
      </c>
      <c r="D14" s="4">
        <v>3829455</v>
      </c>
      <c r="E14" s="122">
        <v>1446949</v>
      </c>
      <c r="F14" s="11">
        <v>847983</v>
      </c>
      <c r="G14" s="78">
        <v>1532646</v>
      </c>
      <c r="H14" s="410" t="s">
        <v>97</v>
      </c>
      <c r="I14" s="411"/>
      <c r="J14" s="411"/>
      <c r="K14" s="411"/>
      <c r="L14" s="411"/>
      <c r="M14" s="412"/>
      <c r="N14" s="411" t="s">
        <v>98</v>
      </c>
      <c r="O14" s="411"/>
      <c r="P14" s="411"/>
      <c r="Q14" s="411"/>
      <c r="R14" s="411"/>
      <c r="S14" s="412"/>
    </row>
    <row r="15" spans="1:19" x14ac:dyDescent="0.2">
      <c r="A15" s="18" t="s">
        <v>103</v>
      </c>
      <c r="B15" s="7">
        <v>1536628</v>
      </c>
      <c r="C15" s="11">
        <v>1481528</v>
      </c>
      <c r="D15" s="4">
        <v>1668706</v>
      </c>
      <c r="E15" s="7">
        <v>1463107</v>
      </c>
      <c r="F15" s="11">
        <v>1952942</v>
      </c>
      <c r="G15" s="78">
        <v>1773298</v>
      </c>
      <c r="H15" s="410" t="s">
        <v>97</v>
      </c>
      <c r="I15" s="411"/>
      <c r="J15" s="411"/>
      <c r="K15" s="411"/>
      <c r="L15" s="411"/>
      <c r="M15" s="412"/>
      <c r="N15" s="411" t="s">
        <v>98</v>
      </c>
      <c r="O15" s="411"/>
      <c r="P15" s="411"/>
      <c r="Q15" s="411"/>
      <c r="R15" s="411"/>
      <c r="S15" s="412"/>
    </row>
    <row r="16" spans="1:19" x14ac:dyDescent="0.2">
      <c r="A16" s="18" t="s">
        <v>104</v>
      </c>
      <c r="B16" s="7">
        <v>80227</v>
      </c>
      <c r="C16" s="11">
        <v>86397</v>
      </c>
      <c r="D16" s="4">
        <v>120790</v>
      </c>
      <c r="E16" s="7">
        <v>866754</v>
      </c>
      <c r="F16" s="11">
        <v>790584</v>
      </c>
      <c r="G16" s="78">
        <v>1234782</v>
      </c>
      <c r="H16" s="410" t="s">
        <v>97</v>
      </c>
      <c r="I16" s="411"/>
      <c r="J16" s="411"/>
      <c r="K16" s="411"/>
      <c r="L16" s="411"/>
      <c r="M16" s="412"/>
      <c r="N16" s="411" t="s">
        <v>98</v>
      </c>
      <c r="O16" s="411"/>
      <c r="P16" s="411"/>
      <c r="Q16" s="411"/>
      <c r="R16" s="411"/>
      <c r="S16" s="412"/>
    </row>
    <row r="17" spans="1:19" ht="16" thickBot="1" x14ac:dyDescent="0.25">
      <c r="A17" s="19" t="s">
        <v>105</v>
      </c>
      <c r="B17" s="14"/>
      <c r="C17" s="15"/>
      <c r="D17" s="16">
        <v>5912254</v>
      </c>
      <c r="E17" s="14"/>
      <c r="F17" s="15"/>
      <c r="G17" s="88">
        <f>11194852809819/Inputs!C12/1000</f>
        <v>7587673.0444753962</v>
      </c>
      <c r="H17" s="415" t="s">
        <v>97</v>
      </c>
      <c r="I17" s="413"/>
      <c r="J17" s="413"/>
      <c r="K17" s="413"/>
      <c r="L17" s="413"/>
      <c r="M17" s="414"/>
      <c r="N17" s="413" t="s">
        <v>106</v>
      </c>
      <c r="O17" s="413"/>
      <c r="P17" s="413"/>
      <c r="Q17" s="413"/>
      <c r="R17" s="413"/>
      <c r="S17" s="414"/>
    </row>
    <row r="18" spans="1:19" ht="16" thickBot="1" x14ac:dyDescent="0.25"/>
    <row r="19" spans="1:19" ht="16" thickBot="1" x14ac:dyDescent="0.25">
      <c r="B19" s="404" t="s">
        <v>3</v>
      </c>
      <c r="C19" s="405"/>
      <c r="D19" s="406"/>
      <c r="E19" s="401" t="s">
        <v>4</v>
      </c>
      <c r="F19" s="402"/>
      <c r="G19" s="403"/>
    </row>
    <row r="20" spans="1:19" ht="16" thickBot="1" x14ac:dyDescent="0.25">
      <c r="A20" s="24" t="s">
        <v>107</v>
      </c>
      <c r="B20" s="21">
        <v>2022</v>
      </c>
      <c r="C20" s="22">
        <v>2023</v>
      </c>
      <c r="D20" s="23">
        <v>2024</v>
      </c>
      <c r="E20" s="21">
        <v>2022</v>
      </c>
      <c r="F20" s="22">
        <v>2023</v>
      </c>
      <c r="G20" s="23">
        <v>2024</v>
      </c>
    </row>
    <row r="21" spans="1:19" x14ac:dyDescent="0.2">
      <c r="A21" s="17" t="s">
        <v>108</v>
      </c>
      <c r="B21" s="8"/>
      <c r="C21" s="12">
        <f>C6/B6-1</f>
        <v>5.1900569657725715E-3</v>
      </c>
      <c r="D21" s="5">
        <f>D6/C6-1</f>
        <v>1.8535313124101283E-2</v>
      </c>
      <c r="E21" s="8"/>
      <c r="F21" s="12">
        <f>F6/E6-1</f>
        <v>2.3661781788648417E-2</v>
      </c>
      <c r="G21" s="5">
        <f>G6/F6-1</f>
        <v>8.2214452984423758E-3</v>
      </c>
    </row>
    <row r="22" spans="1:19" x14ac:dyDescent="0.2">
      <c r="A22" s="18" t="s">
        <v>109</v>
      </c>
      <c r="B22" s="9">
        <f>B7/B6</f>
        <v>0.11963643602585174</v>
      </c>
      <c r="C22" s="12">
        <f>C7/C6</f>
        <v>0.12155178078764066</v>
      </c>
      <c r="D22" s="5">
        <f>D7/D6</f>
        <v>0.13331563645855418</v>
      </c>
      <c r="E22" s="9">
        <f>E7/E6</f>
        <v>8.4083915495601028E-2</v>
      </c>
      <c r="F22" s="12">
        <f t="shared" ref="F22" si="1">F7/F6</f>
        <v>0.14854597578435946</v>
      </c>
      <c r="G22" s="5">
        <f>G7/G6</f>
        <v>0.18723652867138654</v>
      </c>
    </row>
    <row r="23" spans="1:19" x14ac:dyDescent="0.2">
      <c r="A23" s="18" t="s">
        <v>110</v>
      </c>
      <c r="B23" s="9">
        <f>B8/B6</f>
        <v>8.5657857405542881E-2</v>
      </c>
      <c r="C23" s="12">
        <f t="shared" ref="C23:D23" si="2">C8/C6</f>
        <v>8.8489838366944795E-2</v>
      </c>
      <c r="D23" s="5">
        <f t="shared" si="2"/>
        <v>8.4884467360486521E-2</v>
      </c>
      <c r="E23" s="9">
        <f>E8/E6</f>
        <v>6.3838420444654403E-2</v>
      </c>
      <c r="F23" s="12">
        <f t="shared" ref="F23:G23" si="3">F8/F6</f>
        <v>5.6579708697308918E-2</v>
      </c>
      <c r="G23" s="5">
        <f t="shared" si="3"/>
        <v>5.4721462641701565E-2</v>
      </c>
    </row>
    <row r="24" spans="1:19" x14ac:dyDescent="0.2">
      <c r="A24" s="18" t="s">
        <v>111</v>
      </c>
      <c r="B24" s="9">
        <f>B9/B6</f>
        <v>5.0697829580936458E-2</v>
      </c>
      <c r="C24" s="12">
        <f t="shared" ref="C24:D24" si="4">C9/C6</f>
        <v>6.0004845066881321E-2</v>
      </c>
      <c r="D24" s="5">
        <f t="shared" si="4"/>
        <v>5.9597473854786809E-2</v>
      </c>
      <c r="E24" s="9">
        <f>E9/E6</f>
        <v>3.6657779187119197E-2</v>
      </c>
      <c r="F24" s="12">
        <f t="shared" ref="F24:G24" si="5">F9/F6</f>
        <v>4.798385012848428E-2</v>
      </c>
      <c r="G24" s="5">
        <f t="shared" si="5"/>
        <v>0.11079731604896624</v>
      </c>
    </row>
    <row r="25" spans="1:19" ht="16" thickBot="1" x14ac:dyDescent="0.25">
      <c r="A25" s="19" t="s">
        <v>112</v>
      </c>
      <c r="B25" s="10">
        <f>B13/B6</f>
        <v>1.826874053297544E-2</v>
      </c>
      <c r="C25" s="13">
        <f t="shared" ref="C25:D25" si="6">C13/C6</f>
        <v>3.221623614693575E-3</v>
      </c>
      <c r="D25" s="6">
        <f t="shared" si="6"/>
        <v>1.3294801784175688E-3</v>
      </c>
      <c r="E25" s="10">
        <f>E13/E6</f>
        <v>0.35129332241812788</v>
      </c>
      <c r="F25" s="13">
        <f t="shared" ref="F25:G25" si="7">F13/F6</f>
        <v>0.28987015335139388</v>
      </c>
      <c r="G25" s="6">
        <f t="shared" si="7"/>
        <v>0.31456713106803119</v>
      </c>
    </row>
  </sheetData>
  <mergeCells count="33">
    <mergeCell ref="B19:D19"/>
    <mergeCell ref="E19:G19"/>
    <mergeCell ref="A2:F2"/>
    <mergeCell ref="H17:M17"/>
    <mergeCell ref="H13:M13"/>
    <mergeCell ref="B4:D4"/>
    <mergeCell ref="E4:G4"/>
    <mergeCell ref="H6:M6"/>
    <mergeCell ref="H7:M7"/>
    <mergeCell ref="H8:M8"/>
    <mergeCell ref="N17:S17"/>
    <mergeCell ref="H9:M9"/>
    <mergeCell ref="H10:M10"/>
    <mergeCell ref="H11:M11"/>
    <mergeCell ref="H16:M16"/>
    <mergeCell ref="N16:S16"/>
    <mergeCell ref="N11:S11"/>
    <mergeCell ref="N12:S12"/>
    <mergeCell ref="N13:S13"/>
    <mergeCell ref="N14:S14"/>
    <mergeCell ref="N15:S15"/>
    <mergeCell ref="N9:S9"/>
    <mergeCell ref="N10:S10"/>
    <mergeCell ref="N4:S4"/>
    <mergeCell ref="H4:M4"/>
    <mergeCell ref="H5:M5"/>
    <mergeCell ref="N5:S5"/>
    <mergeCell ref="H15:M15"/>
    <mergeCell ref="H12:M12"/>
    <mergeCell ref="H14:M14"/>
    <mergeCell ref="N6:S6"/>
    <mergeCell ref="N7:S7"/>
    <mergeCell ref="N8:S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2BF01D-06E4-1346-B051-3005A7BD3AA4}">
  <dimension ref="A1:J40"/>
  <sheetViews>
    <sheetView zoomScale="125" workbookViewId="0">
      <selection sqref="A1:B1"/>
    </sheetView>
  </sheetViews>
  <sheetFormatPr baseColWidth="10" defaultColWidth="11.5" defaultRowHeight="15" x14ac:dyDescent="0.2"/>
  <cols>
    <col min="1" max="1" width="35.83203125" customWidth="1"/>
    <col min="2" max="4" width="15.83203125" customWidth="1"/>
  </cols>
  <sheetData>
    <row r="1" spans="1:10" x14ac:dyDescent="0.2">
      <c r="A1" s="450" t="s">
        <v>113</v>
      </c>
      <c r="B1" s="450"/>
    </row>
    <row r="2" spans="1:10" ht="16" thickBot="1" x14ac:dyDescent="0.25">
      <c r="B2" s="3"/>
      <c r="C2" s="3"/>
      <c r="D2" s="3"/>
      <c r="E2" s="1"/>
    </row>
    <row r="3" spans="1:10" ht="16" thickBot="1" x14ac:dyDescent="0.25">
      <c r="A3" s="24" t="s">
        <v>114</v>
      </c>
      <c r="B3" s="31" t="s">
        <v>3</v>
      </c>
      <c r="C3" s="32" t="s">
        <v>4</v>
      </c>
      <c r="D3" s="23" t="s">
        <v>5</v>
      </c>
      <c r="E3" s="407" t="s">
        <v>115</v>
      </c>
      <c r="F3" s="408"/>
      <c r="G3" s="408"/>
      <c r="H3" s="408"/>
      <c r="I3" s="408"/>
      <c r="J3" s="409"/>
    </row>
    <row r="4" spans="1:10" x14ac:dyDescent="0.2">
      <c r="A4" s="18" t="s">
        <v>116</v>
      </c>
      <c r="B4" s="37">
        <f>Inputs!B18</f>
        <v>5470000</v>
      </c>
      <c r="C4" s="11">
        <f>Inputs!C18</f>
        <v>3174981.7779585193</v>
      </c>
      <c r="D4" s="29" t="s">
        <v>74</v>
      </c>
      <c r="E4" s="416" t="s">
        <v>117</v>
      </c>
      <c r="F4" s="417"/>
      <c r="G4" s="417"/>
      <c r="H4" s="417"/>
      <c r="I4" s="417"/>
      <c r="J4" s="418"/>
    </row>
    <row r="5" spans="1:10" x14ac:dyDescent="0.2">
      <c r="A5" s="18" t="s">
        <v>118</v>
      </c>
      <c r="B5" s="7">
        <f>Historical!D14</f>
        <v>3829455</v>
      </c>
      <c r="C5" s="11">
        <f>Historical!G14</f>
        <v>1532646</v>
      </c>
      <c r="D5" s="29" t="s">
        <v>74</v>
      </c>
      <c r="E5" s="410" t="s">
        <v>119</v>
      </c>
      <c r="F5" s="411"/>
      <c r="G5" s="411"/>
      <c r="H5" s="411"/>
      <c r="I5" s="411"/>
      <c r="J5" s="412"/>
    </row>
    <row r="6" spans="1:10" ht="16" thickBot="1" x14ac:dyDescent="0.25">
      <c r="A6" s="19" t="s">
        <v>120</v>
      </c>
      <c r="B6" s="26">
        <f>B5/B4</f>
        <v>0.7000831809872029</v>
      </c>
      <c r="C6" s="28">
        <f>C5/C4</f>
        <v>0.48272592007928805</v>
      </c>
      <c r="D6" s="30" t="s">
        <v>34</v>
      </c>
      <c r="E6" s="415" t="s">
        <v>121</v>
      </c>
      <c r="F6" s="413"/>
      <c r="G6" s="413"/>
      <c r="H6" s="413"/>
      <c r="I6" s="413"/>
      <c r="J6" s="414"/>
    </row>
    <row r="7" spans="1:10" ht="16" thickBot="1" x14ac:dyDescent="0.25"/>
    <row r="8" spans="1:10" ht="16" thickBot="1" x14ac:dyDescent="0.25">
      <c r="A8" s="24" t="s">
        <v>122</v>
      </c>
      <c r="B8" s="31" t="s">
        <v>3</v>
      </c>
      <c r="C8" s="32" t="s">
        <v>4</v>
      </c>
      <c r="D8" s="23" t="s">
        <v>5</v>
      </c>
      <c r="E8" s="407" t="s">
        <v>115</v>
      </c>
      <c r="F8" s="408"/>
      <c r="G8" s="408"/>
      <c r="H8" s="408"/>
      <c r="I8" s="408"/>
      <c r="J8" s="409"/>
    </row>
    <row r="9" spans="1:10" x14ac:dyDescent="0.2">
      <c r="A9" s="17" t="s">
        <v>123</v>
      </c>
      <c r="B9" s="43">
        <f>Inputs!B22</f>
        <v>0.76252399999999998</v>
      </c>
      <c r="C9" s="44">
        <f>Inputs!C22</f>
        <v>0.76252399999999998</v>
      </c>
      <c r="D9" s="35" t="s">
        <v>34</v>
      </c>
      <c r="E9" s="416" t="s">
        <v>124</v>
      </c>
      <c r="F9" s="417"/>
      <c r="G9" s="417"/>
      <c r="H9" s="417"/>
      <c r="I9" s="417"/>
      <c r="J9" s="418"/>
    </row>
    <row r="10" spans="1:10" x14ac:dyDescent="0.2">
      <c r="A10" s="18" t="s">
        <v>125</v>
      </c>
      <c r="B10" s="8">
        <f>Inputs!B23</f>
        <v>0</v>
      </c>
      <c r="C10" s="27">
        <f>Inputs!C23</f>
        <v>0</v>
      </c>
      <c r="D10" s="29" t="s">
        <v>34</v>
      </c>
      <c r="E10" s="410" t="s">
        <v>126</v>
      </c>
      <c r="F10" s="411"/>
      <c r="G10" s="411"/>
      <c r="H10" s="411"/>
      <c r="I10" s="411"/>
      <c r="J10" s="412"/>
    </row>
    <row r="11" spans="1:10" x14ac:dyDescent="0.2">
      <c r="A11" s="18" t="s">
        <v>127</v>
      </c>
      <c r="B11" s="38">
        <f>B9+(B9-B10)*B6*(1-Inputs!B24)</f>
        <v>1.1754950639932928</v>
      </c>
      <c r="C11" s="36">
        <f>C9+(C9-C10)*C6*(1-Inputs!C24)</f>
        <v>1.0270703544981008</v>
      </c>
      <c r="D11" s="29" t="s">
        <v>34</v>
      </c>
      <c r="E11" s="410" t="s">
        <v>128</v>
      </c>
      <c r="F11" s="411"/>
      <c r="G11" s="411"/>
      <c r="H11" s="411"/>
      <c r="I11" s="411"/>
      <c r="J11" s="412"/>
    </row>
    <row r="12" spans="1:10" x14ac:dyDescent="0.2">
      <c r="A12" s="18" t="s">
        <v>129</v>
      </c>
      <c r="B12" s="33">
        <f>Inputs!B4</f>
        <v>2.3599999999999999E-2</v>
      </c>
      <c r="C12" s="34">
        <f>Inputs!C4</f>
        <v>2.3599999999999999E-2</v>
      </c>
      <c r="D12" s="29" t="s">
        <v>7</v>
      </c>
      <c r="E12" s="410" t="s">
        <v>130</v>
      </c>
      <c r="F12" s="411"/>
      <c r="G12" s="411"/>
      <c r="H12" s="411"/>
      <c r="I12" s="411"/>
      <c r="J12" s="412"/>
    </row>
    <row r="13" spans="1:10" x14ac:dyDescent="0.2">
      <c r="A13" s="18" t="s">
        <v>131</v>
      </c>
      <c r="B13" s="33">
        <f>Inputs!B21</f>
        <v>7.2632000000000002E-2</v>
      </c>
      <c r="C13" s="34">
        <f>Inputs!C21</f>
        <v>4.9888000000000002E-2</v>
      </c>
      <c r="D13" s="29" t="s">
        <v>7</v>
      </c>
      <c r="E13" s="410" t="s">
        <v>132</v>
      </c>
      <c r="F13" s="411"/>
      <c r="G13" s="411"/>
      <c r="H13" s="411"/>
      <c r="I13" s="411"/>
      <c r="J13" s="412"/>
    </row>
    <row r="14" spans="1:10" ht="16" thickBot="1" x14ac:dyDescent="0.25">
      <c r="A14" s="332" t="s">
        <v>133</v>
      </c>
      <c r="B14" s="333">
        <f>B12+B11*B13</f>
        <v>0.10897855748796084</v>
      </c>
      <c r="C14" s="334">
        <f>C12+C11*C13</f>
        <v>7.4838485845201252E-2</v>
      </c>
      <c r="D14" s="337" t="s">
        <v>7</v>
      </c>
      <c r="E14" s="415" t="s">
        <v>134</v>
      </c>
      <c r="F14" s="413"/>
      <c r="G14" s="413"/>
      <c r="H14" s="413"/>
      <c r="I14" s="413"/>
      <c r="J14" s="414"/>
    </row>
    <row r="15" spans="1:10" ht="16" thickBot="1" x14ac:dyDescent="0.25"/>
    <row r="16" spans="1:10" ht="16" thickBot="1" x14ac:dyDescent="0.25">
      <c r="A16" s="24" t="s">
        <v>135</v>
      </c>
      <c r="B16" s="31" t="s">
        <v>3</v>
      </c>
      <c r="C16" s="32" t="s">
        <v>4</v>
      </c>
      <c r="D16" s="23" t="s">
        <v>5</v>
      </c>
      <c r="E16" s="407" t="s">
        <v>115</v>
      </c>
      <c r="F16" s="408"/>
      <c r="G16" s="408"/>
      <c r="H16" s="408"/>
      <c r="I16" s="408"/>
      <c r="J16" s="409"/>
    </row>
    <row r="17" spans="1:10" x14ac:dyDescent="0.2">
      <c r="A17" s="18" t="s">
        <v>136</v>
      </c>
      <c r="B17" s="33">
        <f>Inputs!B4+Inputs!B9</f>
        <v>3.7600000000000001E-2</v>
      </c>
      <c r="C17" s="34">
        <f>Inputs!C4+Inputs!C9</f>
        <v>3.56E-2</v>
      </c>
      <c r="D17" s="29" t="s">
        <v>7</v>
      </c>
      <c r="E17" s="416" t="s">
        <v>137</v>
      </c>
      <c r="F17" s="417"/>
      <c r="G17" s="417"/>
      <c r="H17" s="417"/>
      <c r="I17" s="417"/>
      <c r="J17" s="418"/>
    </row>
    <row r="18" spans="1:10" x14ac:dyDescent="0.2">
      <c r="A18" s="18" t="s">
        <v>138</v>
      </c>
      <c r="B18" s="33">
        <f>Inputs!B24</f>
        <v>0.22639999999999999</v>
      </c>
      <c r="C18" s="34">
        <f>Inputs!C24</f>
        <v>0.28129999999999999</v>
      </c>
      <c r="D18" s="29" t="s">
        <v>7</v>
      </c>
      <c r="E18" s="410" t="s">
        <v>139</v>
      </c>
      <c r="F18" s="411"/>
      <c r="G18" s="411"/>
      <c r="H18" s="411"/>
      <c r="I18" s="411"/>
      <c r="J18" s="412"/>
    </row>
    <row r="19" spans="1:10" ht="16" thickBot="1" x14ac:dyDescent="0.25">
      <c r="A19" s="332" t="s">
        <v>140</v>
      </c>
      <c r="B19" s="333">
        <f>B17*(1-B18)</f>
        <v>2.9087360000000003E-2</v>
      </c>
      <c r="C19" s="334">
        <f>C17*(1-C18)</f>
        <v>2.5585719999999999E-2</v>
      </c>
      <c r="D19" s="337" t="s">
        <v>7</v>
      </c>
      <c r="E19" s="415" t="s">
        <v>141</v>
      </c>
      <c r="F19" s="413"/>
      <c r="G19" s="413"/>
      <c r="H19" s="413"/>
      <c r="I19" s="413"/>
      <c r="J19" s="414"/>
    </row>
    <row r="20" spans="1:10" ht="16" thickBot="1" x14ac:dyDescent="0.25"/>
    <row r="21" spans="1:10" ht="16" thickBot="1" x14ac:dyDescent="0.25">
      <c r="A21" s="24" t="s">
        <v>142</v>
      </c>
      <c r="B21" s="31" t="s">
        <v>3</v>
      </c>
      <c r="C21" s="32" t="s">
        <v>4</v>
      </c>
      <c r="D21" s="23" t="s">
        <v>5</v>
      </c>
      <c r="E21" s="407" t="s">
        <v>115</v>
      </c>
      <c r="F21" s="408"/>
      <c r="G21" s="408"/>
      <c r="H21" s="408"/>
      <c r="I21" s="408"/>
      <c r="J21" s="409"/>
    </row>
    <row r="22" spans="1:10" x14ac:dyDescent="0.2">
      <c r="A22" s="18" t="s">
        <v>143</v>
      </c>
      <c r="B22" s="9">
        <f>B4/(B4+B5)</f>
        <v>0.58820651317738515</v>
      </c>
      <c r="C22" s="12">
        <f>C4/(C4+C5)</f>
        <v>0.67443347853966529</v>
      </c>
      <c r="D22" s="29" t="s">
        <v>7</v>
      </c>
      <c r="E22" s="416" t="s">
        <v>144</v>
      </c>
      <c r="F22" s="417"/>
      <c r="G22" s="417"/>
      <c r="H22" s="417"/>
      <c r="I22" s="417"/>
      <c r="J22" s="418"/>
    </row>
    <row r="23" spans="1:10" x14ac:dyDescent="0.2">
      <c r="A23" s="18" t="s">
        <v>145</v>
      </c>
      <c r="B23" s="9">
        <f>B5/(B4+B5)</f>
        <v>0.41179348682261485</v>
      </c>
      <c r="C23" s="12">
        <f>C5/(C4+C5)</f>
        <v>0.32556652146033466</v>
      </c>
      <c r="D23" s="29" t="s">
        <v>7</v>
      </c>
      <c r="E23" s="410" t="s">
        <v>146</v>
      </c>
      <c r="F23" s="411"/>
      <c r="G23" s="411"/>
      <c r="H23" s="411"/>
      <c r="I23" s="411"/>
      <c r="J23" s="412"/>
    </row>
    <row r="24" spans="1:10" ht="16" thickBot="1" x14ac:dyDescent="0.25">
      <c r="A24" s="332" t="s">
        <v>8</v>
      </c>
      <c r="B24" s="335">
        <f>B22*B14+B23*B19</f>
        <v>7.6079882707959318E-2</v>
      </c>
      <c r="C24" s="336">
        <f>C22*C14+C23*C19</f>
        <v>5.8803434196678696E-2</v>
      </c>
      <c r="D24" s="337" t="s">
        <v>7</v>
      </c>
      <c r="E24" s="415" t="s">
        <v>147</v>
      </c>
      <c r="F24" s="413"/>
      <c r="G24" s="413"/>
      <c r="H24" s="413"/>
      <c r="I24" s="413"/>
      <c r="J24" s="414"/>
    </row>
    <row r="25" spans="1:10" ht="16" thickBot="1" x14ac:dyDescent="0.25"/>
    <row r="26" spans="1:10" ht="16" thickBot="1" x14ac:dyDescent="0.25">
      <c r="A26" s="322" t="s">
        <v>553</v>
      </c>
      <c r="B26" s="323">
        <v>8.14E-2</v>
      </c>
      <c r="C26" s="41"/>
      <c r="D26" s="42" t="s">
        <v>7</v>
      </c>
      <c r="E26" s="444" t="str">
        <f>HYPERLINK("https://corp-assets.pirelli.com/corporate/Annual_Report_Pirelli_2024_ENG.pdf", "Pirelli Annual Report 2024; goodwill impairment test, post-tax WACC")</f>
        <v>Pirelli Annual Report 2024; goodwill impairment test, post-tax WACC</v>
      </c>
      <c r="F26" s="445"/>
      <c r="G26" s="445"/>
      <c r="H26" s="445"/>
      <c r="I26" s="445"/>
      <c r="J26" s="446"/>
    </row>
    <row r="28" spans="1:10" ht="16" thickBot="1" x14ac:dyDescent="0.25"/>
    <row r="29" spans="1:10" ht="16" thickBot="1" x14ac:dyDescent="0.25">
      <c r="A29" s="447" t="s">
        <v>148</v>
      </c>
      <c r="B29" s="448"/>
      <c r="C29" s="448"/>
      <c r="D29" s="448"/>
      <c r="E29" s="448"/>
      <c r="F29" s="448"/>
      <c r="G29" s="448"/>
      <c r="H29" s="448"/>
      <c r="I29" s="448"/>
      <c r="J29" s="449"/>
    </row>
    <row r="30" spans="1:10" x14ac:dyDescent="0.2">
      <c r="A30" s="435" t="s">
        <v>149</v>
      </c>
      <c r="B30" s="436"/>
      <c r="C30" s="436"/>
      <c r="D30" s="436"/>
      <c r="E30" s="436"/>
      <c r="F30" s="436"/>
      <c r="G30" s="436"/>
      <c r="H30" s="436"/>
      <c r="I30" s="436"/>
      <c r="J30" s="437"/>
    </row>
    <row r="31" spans="1:10" x14ac:dyDescent="0.2">
      <c r="A31" s="438" t="s">
        <v>150</v>
      </c>
      <c r="B31" s="439"/>
      <c r="C31" s="439"/>
      <c r="D31" s="439"/>
      <c r="E31" s="439"/>
      <c r="F31" s="439"/>
      <c r="G31" s="439"/>
      <c r="H31" s="439"/>
      <c r="I31" s="439"/>
      <c r="J31" s="440"/>
    </row>
    <row r="32" spans="1:10" ht="16" thickBot="1" x14ac:dyDescent="0.25">
      <c r="A32" s="441" t="s">
        <v>151</v>
      </c>
      <c r="B32" s="442"/>
      <c r="C32" s="442"/>
      <c r="D32" s="442"/>
      <c r="E32" s="442"/>
      <c r="F32" s="442"/>
      <c r="G32" s="442"/>
      <c r="H32" s="442"/>
      <c r="I32" s="442"/>
      <c r="J32" s="443"/>
    </row>
    <row r="33" spans="1:10" ht="16" thickBot="1" x14ac:dyDescent="0.25"/>
    <row r="34" spans="1:10" ht="16" thickBot="1" x14ac:dyDescent="0.25">
      <c r="A34" s="24" t="s">
        <v>152</v>
      </c>
      <c r="B34" s="31" t="s">
        <v>3</v>
      </c>
      <c r="C34" s="32" t="s">
        <v>4</v>
      </c>
      <c r="D34" s="23" t="s">
        <v>5</v>
      </c>
      <c r="E34" s="407" t="s">
        <v>115</v>
      </c>
      <c r="F34" s="408"/>
      <c r="G34" s="408"/>
      <c r="H34" s="408"/>
      <c r="I34" s="408"/>
      <c r="J34" s="409"/>
    </row>
    <row r="35" spans="1:10" x14ac:dyDescent="0.2">
      <c r="A35" s="18" t="s">
        <v>153</v>
      </c>
      <c r="B35" s="38">
        <f>Inputs!B27/(1+Inputs!B28)/(1-Inputs!B29)</f>
        <v>0.70200673107194766</v>
      </c>
      <c r="C35" s="36">
        <f>Inputs!C27/(1+Inputs!C28)/(1-Inputs!C29)</f>
        <v>0.70200673107194766</v>
      </c>
      <c r="D35" s="29" t="s">
        <v>34</v>
      </c>
      <c r="E35" s="416" t="s">
        <v>154</v>
      </c>
      <c r="F35" s="417"/>
      <c r="G35" s="417"/>
      <c r="H35" s="417"/>
      <c r="I35" s="417"/>
      <c r="J35" s="418"/>
    </row>
    <row r="36" spans="1:10" x14ac:dyDescent="0.2">
      <c r="A36" s="18" t="s">
        <v>155</v>
      </c>
      <c r="B36" s="38">
        <f>B35+(B35-B10)*B6</f>
        <v>1.1934698364352248</v>
      </c>
      <c r="C36" s="36">
        <f>C35+(C35-C10)*C6</f>
        <v>1.0408835762305069</v>
      </c>
      <c r="D36" s="29" t="s">
        <v>34</v>
      </c>
      <c r="E36" s="410" t="s">
        <v>156</v>
      </c>
      <c r="F36" s="411"/>
      <c r="G36" s="411"/>
      <c r="H36" s="411"/>
      <c r="I36" s="411"/>
      <c r="J36" s="412"/>
    </row>
    <row r="37" spans="1:10" x14ac:dyDescent="0.2">
      <c r="A37" s="72" t="s">
        <v>157</v>
      </c>
      <c r="B37" s="73">
        <f>B12+B36*B13</f>
        <v>0.11028410115996325</v>
      </c>
      <c r="C37" s="74">
        <f>C12+C36*C13</f>
        <v>7.5527599850987531E-2</v>
      </c>
      <c r="D37" s="99" t="s">
        <v>7</v>
      </c>
      <c r="E37" s="410" t="s">
        <v>134</v>
      </c>
      <c r="F37" s="411"/>
      <c r="G37" s="411"/>
      <c r="H37" s="411"/>
      <c r="I37" s="411"/>
      <c r="J37" s="412"/>
    </row>
    <row r="38" spans="1:10" ht="16" thickBot="1" x14ac:dyDescent="0.25">
      <c r="A38" s="332" t="s">
        <v>158</v>
      </c>
      <c r="B38" s="333">
        <f>B22*B37+B23*B19</f>
        <v>7.6847811999068649E-2</v>
      </c>
      <c r="C38" s="334">
        <f>C22*C37+C23*C19</f>
        <v>5.9268195752711542E-2</v>
      </c>
      <c r="D38" s="338" t="s">
        <v>7</v>
      </c>
      <c r="E38" s="415" t="s">
        <v>159</v>
      </c>
      <c r="F38" s="413"/>
      <c r="G38" s="413"/>
      <c r="H38" s="413"/>
      <c r="I38" s="413"/>
      <c r="J38" s="414"/>
    </row>
    <row r="39" spans="1:10" ht="16" thickBot="1" x14ac:dyDescent="0.25"/>
    <row r="40" spans="1:10" ht="16" thickBot="1" x14ac:dyDescent="0.25">
      <c r="A40" s="322" t="s">
        <v>160</v>
      </c>
      <c r="B40" s="323">
        <f>B38-B24</f>
        <v>7.6792929110933161E-4</v>
      </c>
      <c r="C40" s="324">
        <f>C38-C24</f>
        <v>4.647615560328458E-4</v>
      </c>
      <c r="D40" s="42" t="s">
        <v>7</v>
      </c>
      <c r="E40" s="432" t="s">
        <v>161</v>
      </c>
      <c r="F40" s="433"/>
      <c r="G40" s="433"/>
      <c r="H40" s="433"/>
      <c r="I40" s="433"/>
      <c r="J40" s="434"/>
    </row>
  </sheetData>
  <mergeCells count="31">
    <mergeCell ref="A1:B1"/>
    <mergeCell ref="E9:J9"/>
    <mergeCell ref="E3:J3"/>
    <mergeCell ref="E4:J4"/>
    <mergeCell ref="E5:J5"/>
    <mergeCell ref="E6:J6"/>
    <mergeCell ref="E8:J8"/>
    <mergeCell ref="E23:J23"/>
    <mergeCell ref="E10:J10"/>
    <mergeCell ref="E11:J11"/>
    <mergeCell ref="E12:J12"/>
    <mergeCell ref="E13:J13"/>
    <mergeCell ref="E14:J14"/>
    <mergeCell ref="E16:J16"/>
    <mergeCell ref="E17:J17"/>
    <mergeCell ref="E18:J18"/>
    <mergeCell ref="E19:J19"/>
    <mergeCell ref="E21:J21"/>
    <mergeCell ref="E22:J22"/>
    <mergeCell ref="E24:J24"/>
    <mergeCell ref="E26:J26"/>
    <mergeCell ref="E34:J34"/>
    <mergeCell ref="E35:J35"/>
    <mergeCell ref="E36:J36"/>
    <mergeCell ref="A29:J29"/>
    <mergeCell ref="E38:J38"/>
    <mergeCell ref="E40:J40"/>
    <mergeCell ref="A30:J30"/>
    <mergeCell ref="A31:J31"/>
    <mergeCell ref="A32:J32"/>
    <mergeCell ref="E37:J3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E09604-CFDE-3F49-897A-6AE3F72E9173}">
  <dimension ref="A1:L55"/>
  <sheetViews>
    <sheetView zoomScale="150" workbookViewId="0">
      <selection sqref="A1:B1"/>
    </sheetView>
  </sheetViews>
  <sheetFormatPr baseColWidth="10" defaultColWidth="11.5" defaultRowHeight="15" x14ac:dyDescent="0.2"/>
  <cols>
    <col min="1" max="1" width="25.83203125" customWidth="1"/>
    <col min="2" max="7" width="12.83203125" customWidth="1"/>
  </cols>
  <sheetData>
    <row r="1" spans="1:12" x14ac:dyDescent="0.2">
      <c r="A1" s="450" t="s">
        <v>162</v>
      </c>
      <c r="B1" s="450"/>
    </row>
    <row r="2" spans="1:12" ht="16" thickBot="1" x14ac:dyDescent="0.25"/>
    <row r="3" spans="1:12" ht="16" thickBot="1" x14ac:dyDescent="0.25">
      <c r="A3" s="24" t="s">
        <v>163</v>
      </c>
      <c r="B3" s="21" t="s">
        <v>164</v>
      </c>
      <c r="C3" s="22" t="s">
        <v>165</v>
      </c>
      <c r="D3" s="22" t="s">
        <v>166</v>
      </c>
      <c r="E3" s="101" t="s">
        <v>167</v>
      </c>
      <c r="F3" s="22" t="s">
        <v>168</v>
      </c>
      <c r="G3" s="94" t="s">
        <v>169</v>
      </c>
      <c r="H3" s="447" t="s">
        <v>115</v>
      </c>
      <c r="I3" s="448"/>
      <c r="J3" s="448"/>
      <c r="K3" s="448"/>
      <c r="L3" s="449"/>
    </row>
    <row r="4" spans="1:12" x14ac:dyDescent="0.2">
      <c r="A4" s="18" t="s">
        <v>108</v>
      </c>
      <c r="B4" s="107">
        <f>Historical!D21</f>
        <v>1.8535313124101283E-2</v>
      </c>
      <c r="C4" s="114">
        <v>0.03</v>
      </c>
      <c r="D4" s="114">
        <v>0.03</v>
      </c>
      <c r="E4" s="115">
        <v>0.03</v>
      </c>
      <c r="F4" s="114">
        <v>0.03</v>
      </c>
      <c r="G4" s="116">
        <v>0.03</v>
      </c>
      <c r="H4" s="410" t="s">
        <v>170</v>
      </c>
      <c r="I4" s="411"/>
      <c r="J4" s="411"/>
      <c r="K4" s="411"/>
      <c r="L4" s="412"/>
    </row>
    <row r="5" spans="1:12" x14ac:dyDescent="0.2">
      <c r="A5" s="18" t="s">
        <v>109</v>
      </c>
      <c r="B5" s="107">
        <f>Historical!D22</f>
        <v>0.13331563645855418</v>
      </c>
      <c r="C5" s="114">
        <f>$B$5</f>
        <v>0.13331563645855418</v>
      </c>
      <c r="D5" s="114">
        <f t="shared" ref="D5:G5" si="0">$B$5</f>
        <v>0.13331563645855418</v>
      </c>
      <c r="E5" s="115">
        <f t="shared" si="0"/>
        <v>0.13331563645855418</v>
      </c>
      <c r="F5" s="114">
        <f t="shared" si="0"/>
        <v>0.13331563645855418</v>
      </c>
      <c r="G5" s="116">
        <f t="shared" si="0"/>
        <v>0.13331563645855418</v>
      </c>
      <c r="H5" s="410" t="s">
        <v>171</v>
      </c>
      <c r="I5" s="411"/>
      <c r="J5" s="411"/>
      <c r="K5" s="411"/>
      <c r="L5" s="412"/>
    </row>
    <row r="6" spans="1:12" x14ac:dyDescent="0.2">
      <c r="A6" s="18" t="s">
        <v>110</v>
      </c>
      <c r="B6" s="107">
        <f>Historical!D23</f>
        <v>8.4884467360486521E-2</v>
      </c>
      <c r="C6" s="114">
        <v>0.08</v>
      </c>
      <c r="D6" s="114">
        <v>7.4999999999999997E-2</v>
      </c>
      <c r="E6" s="115">
        <v>7.0000000000000007E-2</v>
      </c>
      <c r="F6" s="114">
        <v>6.5000000000000002E-2</v>
      </c>
      <c r="G6" s="116">
        <v>0.06</v>
      </c>
      <c r="H6" s="410" t="s">
        <v>172</v>
      </c>
      <c r="I6" s="411"/>
      <c r="J6" s="411"/>
      <c r="K6" s="411"/>
      <c r="L6" s="412"/>
    </row>
    <row r="7" spans="1:12" x14ac:dyDescent="0.2">
      <c r="A7" s="18" t="s">
        <v>111</v>
      </c>
      <c r="B7" s="107">
        <f>Historical!D24</f>
        <v>5.9597473854786809E-2</v>
      </c>
      <c r="C7" s="114">
        <v>0.06</v>
      </c>
      <c r="D7" s="114">
        <v>0.06</v>
      </c>
      <c r="E7" s="115">
        <v>0.06</v>
      </c>
      <c r="F7" s="114">
        <v>0.06</v>
      </c>
      <c r="G7" s="116">
        <v>0.06</v>
      </c>
      <c r="H7" s="410" t="s">
        <v>173</v>
      </c>
      <c r="I7" s="411"/>
      <c r="J7" s="411"/>
      <c r="K7" s="411"/>
      <c r="L7" s="412"/>
    </row>
    <row r="8" spans="1:12" x14ac:dyDescent="0.2">
      <c r="A8" s="18" t="s">
        <v>112</v>
      </c>
      <c r="B8" s="107">
        <f>Historical!D25</f>
        <v>1.3294801784175688E-3</v>
      </c>
      <c r="C8" s="114">
        <f>$B$8</f>
        <v>1.3294801784175688E-3</v>
      </c>
      <c r="D8" s="114">
        <f t="shared" ref="D8:G8" si="1">$B$8</f>
        <v>1.3294801784175688E-3</v>
      </c>
      <c r="E8" s="115">
        <f t="shared" si="1"/>
        <v>1.3294801784175688E-3</v>
      </c>
      <c r="F8" s="114">
        <f t="shared" si="1"/>
        <v>1.3294801784175688E-3</v>
      </c>
      <c r="G8" s="116">
        <f t="shared" si="1"/>
        <v>1.3294801784175688E-3</v>
      </c>
      <c r="H8" s="410" t="s">
        <v>174</v>
      </c>
      <c r="I8" s="411"/>
      <c r="J8" s="411"/>
      <c r="K8" s="411"/>
      <c r="L8" s="412"/>
    </row>
    <row r="9" spans="1:12" ht="16" thickBot="1" x14ac:dyDescent="0.25">
      <c r="A9" s="19" t="s">
        <v>138</v>
      </c>
      <c r="B9" s="108">
        <f>Inputs!$B$24</f>
        <v>0.22639999999999999</v>
      </c>
      <c r="C9" s="319">
        <f>Inputs!$B$24</f>
        <v>0.22639999999999999</v>
      </c>
      <c r="D9" s="319">
        <f>Inputs!$B$24</f>
        <v>0.22639999999999999</v>
      </c>
      <c r="E9" s="320">
        <f>Inputs!$B$24</f>
        <v>0.22639999999999999</v>
      </c>
      <c r="F9" s="319">
        <f>Inputs!$B$24</f>
        <v>0.22639999999999999</v>
      </c>
      <c r="G9" s="321">
        <f>Inputs!$B$24</f>
        <v>0.22639999999999999</v>
      </c>
      <c r="H9" s="415" t="s">
        <v>139</v>
      </c>
      <c r="I9" s="413"/>
      <c r="J9" s="413"/>
      <c r="K9" s="413"/>
      <c r="L9" s="414"/>
    </row>
    <row r="10" spans="1:12" ht="16" thickBot="1" x14ac:dyDescent="0.25">
      <c r="B10" s="87"/>
      <c r="C10" s="87"/>
      <c r="D10" s="87"/>
      <c r="E10" s="87"/>
      <c r="F10" s="87"/>
      <c r="G10" s="87"/>
    </row>
    <row r="11" spans="1:12" ht="16" thickBot="1" x14ac:dyDescent="0.25">
      <c r="A11" s="24" t="s">
        <v>175</v>
      </c>
      <c r="B11" s="21" t="s">
        <v>164</v>
      </c>
      <c r="C11" s="22" t="s">
        <v>165</v>
      </c>
      <c r="D11" s="22" t="s">
        <v>166</v>
      </c>
      <c r="E11" s="22" t="s">
        <v>167</v>
      </c>
      <c r="F11" s="22" t="s">
        <v>168</v>
      </c>
      <c r="G11" s="94" t="s">
        <v>169</v>
      </c>
      <c r="H11" s="447" t="s">
        <v>115</v>
      </c>
      <c r="I11" s="448"/>
      <c r="J11" s="448"/>
      <c r="K11" s="448"/>
      <c r="L11" s="449"/>
    </row>
    <row r="12" spans="1:12" x14ac:dyDescent="0.2">
      <c r="A12" s="110" t="s">
        <v>176</v>
      </c>
      <c r="B12" s="111">
        <v>0</v>
      </c>
      <c r="C12" s="112">
        <v>1</v>
      </c>
      <c r="D12" s="112">
        <v>2</v>
      </c>
      <c r="E12" s="112">
        <v>3</v>
      </c>
      <c r="F12" s="112">
        <v>4</v>
      </c>
      <c r="G12" s="113">
        <v>5</v>
      </c>
      <c r="H12" s="410"/>
      <c r="I12" s="411"/>
      <c r="J12" s="411"/>
      <c r="K12" s="411"/>
      <c r="L12" s="412"/>
    </row>
    <row r="13" spans="1:12" x14ac:dyDescent="0.2">
      <c r="A13" s="18" t="s">
        <v>88</v>
      </c>
      <c r="B13" s="109">
        <f>Historical!D6</f>
        <v>6773324</v>
      </c>
      <c r="C13" s="90">
        <f>B13*(1+C4)</f>
        <v>6976523.7199999997</v>
      </c>
      <c r="D13" s="90">
        <f>C13*(1+D4)</f>
        <v>7185819.4315999998</v>
      </c>
      <c r="E13" s="90">
        <f>D13*(1+E4)</f>
        <v>7401394.0145479999</v>
      </c>
      <c r="F13" s="90">
        <f>E13*(1+F4)</f>
        <v>7623435.8349844404</v>
      </c>
      <c r="G13" s="92">
        <f>F13*(1+G4)</f>
        <v>7852138.9100339739</v>
      </c>
      <c r="H13" s="410"/>
      <c r="I13" s="411"/>
      <c r="J13" s="411"/>
      <c r="K13" s="411"/>
      <c r="L13" s="412"/>
    </row>
    <row r="14" spans="1:12" x14ac:dyDescent="0.2">
      <c r="A14" s="325" t="s">
        <v>177</v>
      </c>
      <c r="B14" s="326">
        <f>Historical!D7+Historical!D8</f>
        <v>1477940</v>
      </c>
      <c r="C14" s="327">
        <f>C13*(C5+C6)</f>
        <v>1488201.5976</v>
      </c>
      <c r="D14" s="327">
        <f t="shared" ref="D14:G14" si="2">D13*(D5+D6)</f>
        <v>1496918.54837</v>
      </c>
      <c r="E14" s="327">
        <f t="shared" si="2"/>
        <v>1504819.1347483601</v>
      </c>
      <c r="F14" s="327">
        <f t="shared" si="2"/>
        <v>1511846.5296158888</v>
      </c>
      <c r="G14" s="328">
        <f t="shared" si="2"/>
        <v>1517941.2309541956</v>
      </c>
      <c r="H14" s="410" t="s">
        <v>178</v>
      </c>
      <c r="I14" s="411"/>
      <c r="J14" s="411"/>
      <c r="K14" s="411"/>
      <c r="L14" s="412"/>
    </row>
    <row r="15" spans="1:12" x14ac:dyDescent="0.2">
      <c r="A15" s="89" t="s">
        <v>179</v>
      </c>
      <c r="B15" s="109">
        <f>-Historical!D8</f>
        <v>-574950</v>
      </c>
      <c r="C15" s="90">
        <f>-C13*C6</f>
        <v>-558121.89760000003</v>
      </c>
      <c r="D15" s="90">
        <f t="shared" ref="D15:G15" si="3">-D13*D6</f>
        <v>-538936.45736999996</v>
      </c>
      <c r="E15" s="90">
        <f t="shared" si="3"/>
        <v>-518097.58101836004</v>
      </c>
      <c r="F15" s="90">
        <f t="shared" si="3"/>
        <v>-495523.32927398867</v>
      </c>
      <c r="G15" s="92">
        <f t="shared" si="3"/>
        <v>-471128.33460203843</v>
      </c>
      <c r="H15" s="410"/>
      <c r="I15" s="411"/>
      <c r="J15" s="411"/>
      <c r="K15" s="411"/>
      <c r="L15" s="412"/>
    </row>
    <row r="16" spans="1:12" x14ac:dyDescent="0.2">
      <c r="A16" s="325" t="s">
        <v>180</v>
      </c>
      <c r="B16" s="326">
        <f>B14+B15</f>
        <v>902990</v>
      </c>
      <c r="C16" s="327">
        <f>C14+C15</f>
        <v>930079.7</v>
      </c>
      <c r="D16" s="327">
        <f>D14+D15</f>
        <v>957982.09100000001</v>
      </c>
      <c r="E16" s="327">
        <f t="shared" ref="E16:G16" si="4">E14+E15</f>
        <v>986721.55373000004</v>
      </c>
      <c r="F16" s="327">
        <f t="shared" si="4"/>
        <v>1016323.2003419001</v>
      </c>
      <c r="G16" s="328">
        <f t="shared" si="4"/>
        <v>1046812.8963521572</v>
      </c>
      <c r="H16" s="410"/>
      <c r="I16" s="411"/>
      <c r="J16" s="411"/>
      <c r="K16" s="411"/>
      <c r="L16" s="412"/>
    </row>
    <row r="17" spans="1:12" x14ac:dyDescent="0.2">
      <c r="A17" s="89" t="s">
        <v>181</v>
      </c>
      <c r="B17" s="109">
        <f>-B16*B9</f>
        <v>-204436.93599999999</v>
      </c>
      <c r="C17" s="90">
        <f>-C16*C9</f>
        <v>-210570.04407999999</v>
      </c>
      <c r="D17" s="90">
        <f t="shared" ref="D17:G17" si="5">-D16*D9</f>
        <v>-216887.1454024</v>
      </c>
      <c r="E17" s="90">
        <f t="shared" si="5"/>
        <v>-223393.75976447199</v>
      </c>
      <c r="F17" s="90">
        <f t="shared" si="5"/>
        <v>-230095.57255740618</v>
      </c>
      <c r="G17" s="92">
        <f t="shared" si="5"/>
        <v>-236998.43973412839</v>
      </c>
      <c r="H17" s="410" t="s">
        <v>182</v>
      </c>
      <c r="I17" s="411"/>
      <c r="J17" s="411"/>
      <c r="K17" s="411"/>
      <c r="L17" s="412"/>
    </row>
    <row r="18" spans="1:12" x14ac:dyDescent="0.2">
      <c r="A18" s="89" t="s">
        <v>183</v>
      </c>
      <c r="B18" s="109">
        <f>-B15</f>
        <v>574950</v>
      </c>
      <c r="C18" s="90">
        <f>-C15</f>
        <v>558121.89760000003</v>
      </c>
      <c r="D18" s="90">
        <f t="shared" ref="D18:G18" si="6">-D15</f>
        <v>538936.45736999996</v>
      </c>
      <c r="E18" s="90">
        <f t="shared" si="6"/>
        <v>518097.58101836004</v>
      </c>
      <c r="F18" s="90">
        <f t="shared" si="6"/>
        <v>495523.32927398867</v>
      </c>
      <c r="G18" s="92">
        <f t="shared" si="6"/>
        <v>471128.33460203843</v>
      </c>
      <c r="H18" s="410" t="s">
        <v>184</v>
      </c>
      <c r="I18" s="411"/>
      <c r="J18" s="411"/>
      <c r="K18" s="411"/>
      <c r="L18" s="412"/>
    </row>
    <row r="19" spans="1:12" x14ac:dyDescent="0.2">
      <c r="A19" s="117" t="s">
        <v>185</v>
      </c>
      <c r="B19" s="118">
        <f>B16+B17+B18</f>
        <v>1273503.064</v>
      </c>
      <c r="C19" s="119">
        <f t="shared" ref="C19:G19" si="7">C16+C17+C18</f>
        <v>1277631.5535200001</v>
      </c>
      <c r="D19" s="119">
        <f t="shared" si="7"/>
        <v>1280031.4029675999</v>
      </c>
      <c r="E19" s="119">
        <f t="shared" si="7"/>
        <v>1281425.3749838881</v>
      </c>
      <c r="F19" s="119">
        <f t="shared" si="7"/>
        <v>1281750.9570584826</v>
      </c>
      <c r="G19" s="120">
        <f t="shared" si="7"/>
        <v>1280942.7912200673</v>
      </c>
      <c r="H19" s="410" t="s">
        <v>186</v>
      </c>
      <c r="I19" s="411"/>
      <c r="J19" s="411"/>
      <c r="K19" s="411"/>
      <c r="L19" s="412"/>
    </row>
    <row r="20" spans="1:12" x14ac:dyDescent="0.2">
      <c r="A20" s="89" t="s">
        <v>187</v>
      </c>
      <c r="B20" s="109">
        <f>-Historical!D9</f>
        <v>-403673</v>
      </c>
      <c r="C20" s="90">
        <f>-C13*C7</f>
        <v>-418591.42319999996</v>
      </c>
      <c r="D20" s="90">
        <f t="shared" ref="D20:G20" si="8">-D13*D7</f>
        <v>-431149.16589599999</v>
      </c>
      <c r="E20" s="90">
        <f t="shared" si="8"/>
        <v>-444083.64087288</v>
      </c>
      <c r="F20" s="90">
        <f t="shared" si="8"/>
        <v>-457406.15009906638</v>
      </c>
      <c r="G20" s="92">
        <f t="shared" si="8"/>
        <v>-471128.33460203843</v>
      </c>
      <c r="H20" s="410"/>
      <c r="I20" s="411"/>
      <c r="J20" s="411"/>
      <c r="K20" s="411"/>
      <c r="L20" s="412"/>
    </row>
    <row r="21" spans="1:12" x14ac:dyDescent="0.2">
      <c r="A21" s="18" t="s">
        <v>101</v>
      </c>
      <c r="B21" s="109">
        <f>Historical!D13</f>
        <v>9005</v>
      </c>
      <c r="C21" s="90">
        <f>C13*C8</f>
        <v>9275.15</v>
      </c>
      <c r="D21" s="90">
        <f t="shared" ref="D21:G21" si="9">D13*D8</f>
        <v>9553.4045000000006</v>
      </c>
      <c r="E21" s="90">
        <f t="shared" si="9"/>
        <v>9840.0066349999997</v>
      </c>
      <c r="F21" s="90">
        <f t="shared" si="9"/>
        <v>10135.206834050001</v>
      </c>
      <c r="G21" s="92">
        <f t="shared" si="9"/>
        <v>10439.263039071502</v>
      </c>
      <c r="H21" s="410" t="s">
        <v>188</v>
      </c>
      <c r="I21" s="411"/>
      <c r="J21" s="411"/>
      <c r="K21" s="411"/>
      <c r="L21" s="412"/>
    </row>
    <row r="22" spans="1:12" x14ac:dyDescent="0.2">
      <c r="A22" s="89" t="s">
        <v>189</v>
      </c>
      <c r="B22" s="109"/>
      <c r="C22" s="90">
        <f>-(C21-B21)</f>
        <v>-270.14999999999964</v>
      </c>
      <c r="D22" s="90">
        <f t="shared" ref="D22:G22" si="10">-(D21-C21)</f>
        <v>-278.25450000000092</v>
      </c>
      <c r="E22" s="90">
        <f t="shared" si="10"/>
        <v>-286.60213499999918</v>
      </c>
      <c r="F22" s="90">
        <f t="shared" si="10"/>
        <v>-295.20019905000117</v>
      </c>
      <c r="G22" s="92">
        <f t="shared" si="10"/>
        <v>-304.05620502150123</v>
      </c>
      <c r="H22" s="410"/>
      <c r="I22" s="411"/>
      <c r="J22" s="411"/>
      <c r="K22" s="411"/>
      <c r="L22" s="412"/>
    </row>
    <row r="23" spans="1:12" x14ac:dyDescent="0.2">
      <c r="A23" s="117" t="s">
        <v>175</v>
      </c>
      <c r="B23" s="118"/>
      <c r="C23" s="119">
        <f>C19+C20+C22</f>
        <v>858769.98032000009</v>
      </c>
      <c r="D23" s="119">
        <f t="shared" ref="D23:G23" si="11">D19+D20+D22</f>
        <v>848603.98257159989</v>
      </c>
      <c r="E23" s="119">
        <f t="shared" si="11"/>
        <v>837055.13197600807</v>
      </c>
      <c r="F23" s="119">
        <f t="shared" si="11"/>
        <v>824049.60676036624</v>
      </c>
      <c r="G23" s="120">
        <f t="shared" si="11"/>
        <v>809510.40041300748</v>
      </c>
      <c r="H23" s="410" t="s">
        <v>190</v>
      </c>
      <c r="I23" s="411"/>
      <c r="J23" s="411"/>
      <c r="K23" s="411"/>
      <c r="L23" s="412"/>
    </row>
    <row r="24" spans="1:12" x14ac:dyDescent="0.2">
      <c r="A24" s="18" t="s">
        <v>191</v>
      </c>
      <c r="B24" s="109"/>
      <c r="C24" s="91">
        <f>1/(1+$B$29)^C12</f>
        <v>0.92929903817502468</v>
      </c>
      <c r="D24" s="91">
        <f>1/(1+$B$29)^D12</f>
        <v>0.86359670235302599</v>
      </c>
      <c r="E24" s="91">
        <f>1/(1+$B$29)^E12</f>
        <v>0.80253958486778998</v>
      </c>
      <c r="F24" s="91">
        <f>1/(1+$B$29)^F12</f>
        <v>0.74579926431502086</v>
      </c>
      <c r="G24" s="93">
        <f>1/(1+$B$29)^G12</f>
        <v>0.69307053899958981</v>
      </c>
      <c r="H24" s="410" t="s">
        <v>192</v>
      </c>
      <c r="I24" s="411"/>
      <c r="J24" s="411"/>
      <c r="K24" s="411"/>
      <c r="L24" s="412"/>
    </row>
    <row r="25" spans="1:12" ht="16" thickBot="1" x14ac:dyDescent="0.25">
      <c r="A25" s="329" t="s">
        <v>193</v>
      </c>
      <c r="B25" s="349"/>
      <c r="C25" s="330">
        <f>C23*C24</f>
        <v>798054.11672496097</v>
      </c>
      <c r="D25" s="330">
        <f t="shared" ref="D25:G25" si="12">D23*D24</f>
        <v>732851.60095247836</v>
      </c>
      <c r="E25" s="330">
        <f t="shared" si="12"/>
        <v>671769.87812747865</v>
      </c>
      <c r="F25" s="330">
        <f t="shared" si="12"/>
        <v>614575.59048096335</v>
      </c>
      <c r="G25" s="331">
        <f t="shared" si="12"/>
        <v>561047.80954001681</v>
      </c>
      <c r="H25" s="415"/>
      <c r="I25" s="413"/>
      <c r="J25" s="413"/>
      <c r="K25" s="413"/>
      <c r="L25" s="414"/>
    </row>
    <row r="27" spans="1:12" ht="16" thickBot="1" x14ac:dyDescent="0.25"/>
    <row r="28" spans="1:12" ht="16" thickBot="1" x14ac:dyDescent="0.25">
      <c r="A28" s="24" t="s">
        <v>194</v>
      </c>
      <c r="B28" s="279" t="s">
        <v>3</v>
      </c>
      <c r="C28" s="299" t="s">
        <v>5</v>
      </c>
      <c r="D28" s="447" t="s">
        <v>115</v>
      </c>
      <c r="E28" s="448"/>
      <c r="F28" s="449"/>
    </row>
    <row r="29" spans="1:12" x14ac:dyDescent="0.2">
      <c r="A29" s="18" t="s">
        <v>8</v>
      </c>
      <c r="B29" s="293">
        <f>WACC!B24</f>
        <v>7.6079882707959318E-2</v>
      </c>
      <c r="C29" s="296" t="s">
        <v>7</v>
      </c>
      <c r="D29" s="416"/>
      <c r="E29" s="417"/>
      <c r="F29" s="418"/>
    </row>
    <row r="30" spans="1:12" x14ac:dyDescent="0.2">
      <c r="A30" s="18" t="s">
        <v>195</v>
      </c>
      <c r="B30" s="293">
        <f>Inputs!B14</f>
        <v>0.02</v>
      </c>
      <c r="C30" s="297" t="s">
        <v>7</v>
      </c>
      <c r="D30" s="410"/>
      <c r="E30" s="411"/>
      <c r="F30" s="412"/>
    </row>
    <row r="31" spans="1:12" x14ac:dyDescent="0.2">
      <c r="A31" s="18" t="s">
        <v>196</v>
      </c>
      <c r="B31" s="293">
        <f>Historical!D7*(1-Inputs!B24)/(Historical!D17+Historical!D14-Historical!D15-Historical!D16)</f>
        <v>8.7843857301105999E-2</v>
      </c>
      <c r="C31" s="297" t="s">
        <v>7</v>
      </c>
      <c r="D31" s="410" t="s">
        <v>197</v>
      </c>
      <c r="E31" s="411"/>
      <c r="F31" s="412"/>
    </row>
    <row r="32" spans="1:12" x14ac:dyDescent="0.2">
      <c r="A32" s="18" t="s">
        <v>198</v>
      </c>
      <c r="B32" s="293">
        <f>B30/B31</f>
        <v>0.22767670517296593</v>
      </c>
      <c r="C32" s="297" t="s">
        <v>7</v>
      </c>
      <c r="D32" s="410" t="s">
        <v>199</v>
      </c>
      <c r="E32" s="411"/>
      <c r="F32" s="412"/>
    </row>
    <row r="33" spans="1:6" x14ac:dyDescent="0.2">
      <c r="A33" s="18" t="s">
        <v>200</v>
      </c>
      <c r="B33" s="290">
        <f>G16*(1-G9)*(1+B30)*(1-B32)</f>
        <v>637947.34072047635</v>
      </c>
      <c r="C33" s="297" t="s">
        <v>74</v>
      </c>
      <c r="D33" s="410" t="s">
        <v>201</v>
      </c>
      <c r="E33" s="411"/>
      <c r="F33" s="412"/>
    </row>
    <row r="34" spans="1:6" x14ac:dyDescent="0.2">
      <c r="A34" s="18" t="s">
        <v>202</v>
      </c>
      <c r="B34" s="290">
        <f>B33/(B29-B30)</f>
        <v>11375689.639770478</v>
      </c>
      <c r="C34" s="297" t="s">
        <v>74</v>
      </c>
      <c r="D34" s="410" t="s">
        <v>203</v>
      </c>
      <c r="E34" s="411"/>
      <c r="F34" s="412"/>
    </row>
    <row r="35" spans="1:6" x14ac:dyDescent="0.2">
      <c r="A35" s="18" t="s">
        <v>204</v>
      </c>
      <c r="B35" s="290">
        <f>B34*G24</f>
        <v>7884155.3501277752</v>
      </c>
      <c r="C35" s="297" t="s">
        <v>74</v>
      </c>
      <c r="D35" s="410" t="s">
        <v>205</v>
      </c>
      <c r="E35" s="411"/>
      <c r="F35" s="412"/>
    </row>
    <row r="36" spans="1:6" x14ac:dyDescent="0.2">
      <c r="A36" s="18" t="s">
        <v>206</v>
      </c>
      <c r="B36" s="290">
        <f>SUM(C25:G25)</f>
        <v>3378298.9958258979</v>
      </c>
      <c r="C36" s="297" t="s">
        <v>74</v>
      </c>
      <c r="D36" s="410"/>
      <c r="E36" s="411"/>
      <c r="F36" s="412"/>
    </row>
    <row r="37" spans="1:6" x14ac:dyDescent="0.2">
      <c r="A37" s="340" t="s">
        <v>207</v>
      </c>
      <c r="B37" s="341">
        <f>B35+B36</f>
        <v>11262454.345953673</v>
      </c>
      <c r="C37" s="339" t="s">
        <v>74</v>
      </c>
      <c r="D37" s="410" t="s">
        <v>208</v>
      </c>
      <c r="E37" s="411"/>
      <c r="F37" s="412"/>
    </row>
    <row r="38" spans="1:6" x14ac:dyDescent="0.2">
      <c r="A38" s="18" t="s">
        <v>209</v>
      </c>
      <c r="B38" s="273">
        <f>B35/B37</f>
        <v>0.70003882883310964</v>
      </c>
      <c r="C38" s="297" t="s">
        <v>7</v>
      </c>
      <c r="D38" s="410"/>
      <c r="E38" s="411"/>
      <c r="F38" s="412"/>
    </row>
    <row r="39" spans="1:6" x14ac:dyDescent="0.2">
      <c r="A39" s="89" t="s">
        <v>210</v>
      </c>
      <c r="B39" s="290">
        <f>-Historical!D14</f>
        <v>-3829455</v>
      </c>
      <c r="C39" s="297" t="s">
        <v>74</v>
      </c>
      <c r="D39" s="410"/>
      <c r="E39" s="411"/>
      <c r="F39" s="412"/>
    </row>
    <row r="40" spans="1:6" x14ac:dyDescent="0.2">
      <c r="A40" s="89" t="s">
        <v>211</v>
      </c>
      <c r="B40" s="290">
        <f>Historical!D15</f>
        <v>1668706</v>
      </c>
      <c r="C40" s="297" t="s">
        <v>74</v>
      </c>
      <c r="D40" s="410"/>
      <c r="E40" s="411"/>
      <c r="F40" s="412"/>
    </row>
    <row r="41" spans="1:6" x14ac:dyDescent="0.2">
      <c r="A41" s="89" t="s">
        <v>212</v>
      </c>
      <c r="B41" s="290">
        <f>Historical!D16</f>
        <v>120790</v>
      </c>
      <c r="C41" s="297" t="s">
        <v>74</v>
      </c>
      <c r="D41" s="410"/>
      <c r="E41" s="411"/>
      <c r="F41" s="412"/>
    </row>
    <row r="42" spans="1:6" x14ac:dyDescent="0.2">
      <c r="A42" s="340" t="s">
        <v>213</v>
      </c>
      <c r="B42" s="341">
        <f>B37+B39+B40+B41</f>
        <v>9222495.3459536731</v>
      </c>
      <c r="C42" s="339" t="s">
        <v>74</v>
      </c>
      <c r="D42" s="410" t="s">
        <v>214</v>
      </c>
      <c r="E42" s="411"/>
      <c r="F42" s="412"/>
    </row>
    <row r="43" spans="1:6" x14ac:dyDescent="0.2">
      <c r="A43" s="18" t="s">
        <v>215</v>
      </c>
      <c r="B43" s="272">
        <f>Inputs!B10</f>
        <v>1000</v>
      </c>
      <c r="C43" s="297" t="s">
        <v>61</v>
      </c>
      <c r="D43" s="410"/>
      <c r="E43" s="411"/>
      <c r="F43" s="412"/>
    </row>
    <row r="44" spans="1:6" x14ac:dyDescent="0.2">
      <c r="A44" s="340" t="s">
        <v>216</v>
      </c>
      <c r="B44" s="342">
        <f>B42/1000/B43</f>
        <v>9.2224953459536732</v>
      </c>
      <c r="C44" s="339" t="s">
        <v>217</v>
      </c>
      <c r="D44" s="410" t="s">
        <v>218</v>
      </c>
      <c r="E44" s="411"/>
      <c r="F44" s="412"/>
    </row>
    <row r="45" spans="1:6" x14ac:dyDescent="0.2">
      <c r="A45" s="18" t="s">
        <v>219</v>
      </c>
      <c r="B45" s="291">
        <f>Inputs!B11</f>
        <v>5.47</v>
      </c>
      <c r="C45" s="297" t="s">
        <v>217</v>
      </c>
      <c r="D45" s="410"/>
      <c r="E45" s="411"/>
      <c r="F45" s="412"/>
    </row>
    <row r="46" spans="1:6" ht="16" thickBot="1" x14ac:dyDescent="0.25">
      <c r="A46" s="19" t="s">
        <v>220</v>
      </c>
      <c r="B46" s="295">
        <f>B44/B45-1</f>
        <v>0.68601377439738087</v>
      </c>
      <c r="C46" s="298" t="s">
        <v>7</v>
      </c>
      <c r="D46" s="415"/>
      <c r="E46" s="413"/>
      <c r="F46" s="414"/>
    </row>
    <row r="48" spans="1:6" ht="16" thickBot="1" x14ac:dyDescent="0.25"/>
    <row r="49" spans="1:4" ht="16" thickBot="1" x14ac:dyDescent="0.25">
      <c r="A49" s="407" t="s">
        <v>221</v>
      </c>
      <c r="B49" s="408"/>
      <c r="C49" s="408"/>
      <c r="D49" s="409"/>
    </row>
    <row r="50" spans="1:4" ht="16" thickBot="1" x14ac:dyDescent="0.25">
      <c r="A50" s="100" t="s">
        <v>222</v>
      </c>
      <c r="B50" s="283">
        <v>1.4999999999999999E-2</v>
      </c>
      <c r="C50" s="283">
        <v>0.02</v>
      </c>
      <c r="D50" s="284">
        <v>2.5000000000000001E-2</v>
      </c>
    </row>
    <row r="51" spans="1:4" x14ac:dyDescent="0.2">
      <c r="A51" s="285">
        <f>$B$29-0.01</f>
        <v>6.6079882707959323E-2</v>
      </c>
      <c r="B51" s="124" cm="1">
        <f t="array" ref="B51">(SUMPRODUCT($C$23:$G$23/(1+$A51)^$C$12:$G$12)+$G$16*(1-$G$9)*(1+B$50)*(1-B$50/$B$31)/($A51-B$50)/(1+$A51)^5+$B$39+$B$40+$B$41)/1000/$B$43</f>
        <v>11.119156981425009</v>
      </c>
      <c r="C51" s="124" cm="1">
        <f t="array" ref="C51">(SUMPRODUCT($C$23:$G$23/(1+$A51)^$C$12:$G$12)+$G$16*(1-$G$9)*(1+C$50)*(1-C$50/$B$31)/($A51-C$50)/(1+$A51)^5+$B$39+$B$40+$B$41)/1000/$B$43</f>
        <v>11.482590646132394</v>
      </c>
      <c r="D51" s="125" cm="1">
        <f t="array" ref="D51">(SUMPRODUCT($C$23:$G$23/(1+$A51)^$C$12:$G$12)+$G$16*(1-$G$9)*(1+D$50)*(1-D$50/$B$31)/($A51-D$50)/(1+$A51)^5+$B$39+$B$40+$B$41)/1000/$B$43</f>
        <v>11.926346012086531</v>
      </c>
    </row>
    <row r="52" spans="1:4" x14ac:dyDescent="0.2">
      <c r="A52" s="285">
        <f>$B$29-0.005</f>
        <v>7.1079882707959313E-2</v>
      </c>
      <c r="B52" s="124" cm="1">
        <f t="array" ref="B52">(SUMPRODUCT($C$23:$G$23/(1+$A52)^$C$12:$G$12)+$G$16*(1-$G$9)*(1+B$50)*(1-B$50/$B$31)/($A52-B$50)/(1+$A52)^5+$B$39+$B$40+$B$41)/1000/$B$43</f>
        <v>10.005322347206761</v>
      </c>
      <c r="C52" s="124" cm="1">
        <f t="array" ref="C52">(SUMPRODUCT($C$23:$G$23/(1+$A52)^$C$12:$G$12)+$G$16*(1-$G$9)*(1+C$50)*(1-C$50/$B$31)/($A52-C$50)/(1+$A52)^5+$B$39+$B$40+$B$41)/1000/$B$43</f>
        <v>10.242984948974462</v>
      </c>
      <c r="D52" s="125" cm="1">
        <f t="array" ref="D52">(SUMPRODUCT($C$23:$G$23/(1+$A52)^$C$12:$G$12)+$G$16*(1-$G$9)*(1+D$50)*(1-D$50/$B$31)/($A52-D$50)/(1+$A52)^5+$B$39+$B$40+$B$41)/1000/$B$43</f>
        <v>10.525127606561012</v>
      </c>
    </row>
    <row r="53" spans="1:4" x14ac:dyDescent="0.2">
      <c r="A53" s="285">
        <f>$B$29</f>
        <v>7.6079882707959318E-2</v>
      </c>
      <c r="B53" s="124" cm="1">
        <f t="array" ref="B53">(SUMPRODUCT($C$23:$G$23/(1+$A53)^$C$12:$G$12)+$G$16*(1-$G$9)*(1+B$50)*(1-B$50/$B$31)/($A53-B$50)/(1+$A53)^5+$B$39+$B$40+$B$41)/1000/$B$43</f>
        <v>9.072485685274188</v>
      </c>
      <c r="C53" s="128" cm="1">
        <f t="array" ref="C53">(SUMPRODUCT($C$23:$G$23/(1+$A53)^$C$12:$G$12)+$G$16*(1-$G$9)*(1+C$50)*(1-C$50/$B$31)/($A53-C$50)/(1+$A53)^5+$B$39+$B$40+$B$41)/1000/$B$43</f>
        <v>9.2224953459536732</v>
      </c>
      <c r="D53" s="125" cm="1">
        <f t="array" ref="D53">(SUMPRODUCT($C$23:$G$23/(1+$A53)^$C$12:$G$12)+$G$16*(1-$G$9)*(1+D$50)*(1-D$50/$B$31)/($A53-D$50)/(1+$A53)^5+$B$39+$B$40+$B$41)/1000/$B$43</f>
        <v>9.3956184674568313</v>
      </c>
    </row>
    <row r="54" spans="1:4" x14ac:dyDescent="0.2">
      <c r="A54" s="285">
        <f>$B$29+0.005</f>
        <v>8.1079882707959322E-2</v>
      </c>
      <c r="B54" s="124" cm="1">
        <f t="array" ref="B54">(SUMPRODUCT($C$23:$G$23/(1+$A54)^$C$12:$G$12)+$G$16*(1-$G$9)*(1+B$50)*(1-B$50/$B$31)/($A54-B$50)/(1+$A54)^5+$B$39+$B$40+$B$41)/1000/$B$43</f>
        <v>8.2795989330124602</v>
      </c>
      <c r="C54" s="124" cm="1">
        <f t="array" ref="C54">(SUMPRODUCT($C$23:$G$23/(1+$A54)^$C$12:$G$12)+$G$16*(1-$G$9)*(1+C$50)*(1-C$50/$B$31)/($A54-C$50)/(1+$A54)^5+$B$39+$B$40+$B$41)/1000/$B$43</f>
        <v>8.3673652869668285</v>
      </c>
      <c r="D54" s="125" cm="1">
        <f t="array" ref="D54">(SUMPRODUCT($C$23:$G$23/(1+$A54)^$C$12:$G$12)+$G$16*(1-$G$9)*(1+D$50)*(1-D$50/$B$31)/($A54-D$50)/(1+$A54)^5+$B$39+$B$40+$B$41)/1000/$B$43</f>
        <v>8.465215816570673</v>
      </c>
    </row>
    <row r="55" spans="1:4" ht="16" thickBot="1" x14ac:dyDescent="0.25">
      <c r="A55" s="286">
        <f>$B$29+0.01</f>
        <v>8.6079882707959313E-2</v>
      </c>
      <c r="B55" s="126" cm="1">
        <f t="array" ref="B55">(SUMPRODUCT($C$23:$G$23/(1+$A55)^$C$12:$G$12)+$G$16*(1-$G$9)*(1+B$50)*(1-B$50/$B$31)/($A55-B$50)/(1+$A55)^5+$B$39+$B$40+$B$41)/1000/$B$43</f>
        <v>7.5971626189800388</v>
      </c>
      <c r="C55" s="126" cm="1">
        <f t="array" ref="C55">(SUMPRODUCT($C$23:$G$23/(1+$A55)^$C$12:$G$12)+$G$16*(1-$G$9)*(1+C$50)*(1-C$50/$B$31)/($A55-C$50)/(1+$A55)^5+$B$39+$B$40+$B$41)/1000/$B$43</f>
        <v>7.6401066275870111</v>
      </c>
      <c r="D55" s="127" cm="1">
        <f t="array" ref="D55">(SUMPRODUCT($C$23:$G$23/(1+$A55)^$C$12:$G$12)+$G$16*(1-$G$9)*(1+D$50)*(1-D$50/$B$31)/($A55-D$50)/(1+$A55)^5+$B$39+$B$40+$B$41)/1000/$B$43</f>
        <v>7.685087562043794</v>
      </c>
    </row>
  </sheetData>
  <mergeCells count="43">
    <mergeCell ref="A1:B1"/>
    <mergeCell ref="D46:F46"/>
    <mergeCell ref="H23:L23"/>
    <mergeCell ref="H25:L25"/>
    <mergeCell ref="D43:F43"/>
    <mergeCell ref="D44:F44"/>
    <mergeCell ref="D45:F45"/>
    <mergeCell ref="D28:F28"/>
    <mergeCell ref="D29:F29"/>
    <mergeCell ref="D30:F30"/>
    <mergeCell ref="D31:F31"/>
    <mergeCell ref="D32:F32"/>
    <mergeCell ref="D33:F33"/>
    <mergeCell ref="D34:F34"/>
    <mergeCell ref="D35:F35"/>
    <mergeCell ref="D36:F36"/>
    <mergeCell ref="D37:F37"/>
    <mergeCell ref="H18:L18"/>
    <mergeCell ref="H19:L19"/>
    <mergeCell ref="H20:L20"/>
    <mergeCell ref="H21:L21"/>
    <mergeCell ref="H22:L22"/>
    <mergeCell ref="A49:D49"/>
    <mergeCell ref="H3:L3"/>
    <mergeCell ref="H4:L4"/>
    <mergeCell ref="H5:L5"/>
    <mergeCell ref="H6:L6"/>
    <mergeCell ref="H7:L7"/>
    <mergeCell ref="H8:L8"/>
    <mergeCell ref="H9:L9"/>
    <mergeCell ref="H11:L11"/>
    <mergeCell ref="H12:L12"/>
    <mergeCell ref="H24:L24"/>
    <mergeCell ref="H13:L13"/>
    <mergeCell ref="H14:L14"/>
    <mergeCell ref="H15:L15"/>
    <mergeCell ref="H16:L16"/>
    <mergeCell ref="H17:L17"/>
    <mergeCell ref="D38:F38"/>
    <mergeCell ref="D39:F39"/>
    <mergeCell ref="D40:F40"/>
    <mergeCell ref="D41:F41"/>
    <mergeCell ref="D42:F4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B8CFB3-A51E-C14E-9FEF-1DB0E1B1098A}">
  <dimension ref="A1:N60"/>
  <sheetViews>
    <sheetView zoomScale="132" workbookViewId="0">
      <selection sqref="A1:B1"/>
    </sheetView>
  </sheetViews>
  <sheetFormatPr baseColWidth="10" defaultColWidth="11.5" defaultRowHeight="15" x14ac:dyDescent="0.2"/>
  <cols>
    <col min="1" max="1" width="25.83203125" customWidth="1"/>
    <col min="2" max="7" width="12.83203125" customWidth="1"/>
  </cols>
  <sheetData>
    <row r="1" spans="1:14" x14ac:dyDescent="0.2">
      <c r="A1" s="450" t="s">
        <v>223</v>
      </c>
      <c r="B1" s="450"/>
    </row>
    <row r="2" spans="1:14" ht="16" thickBot="1" x14ac:dyDescent="0.25"/>
    <row r="3" spans="1:14" ht="16" thickBot="1" x14ac:dyDescent="0.25">
      <c r="A3" s="24" t="s">
        <v>163</v>
      </c>
      <c r="B3" s="21" t="s">
        <v>164</v>
      </c>
      <c r="C3" s="22" t="s">
        <v>165</v>
      </c>
      <c r="D3" s="22" t="s">
        <v>166</v>
      </c>
      <c r="E3" s="101" t="s">
        <v>167</v>
      </c>
      <c r="F3" s="22" t="s">
        <v>168</v>
      </c>
      <c r="G3" s="94" t="s">
        <v>169</v>
      </c>
      <c r="H3" s="447" t="s">
        <v>115</v>
      </c>
      <c r="I3" s="448"/>
      <c r="J3" s="448"/>
      <c r="K3" s="448"/>
      <c r="L3" s="448"/>
      <c r="M3" s="448"/>
      <c r="N3" s="449"/>
    </row>
    <row r="4" spans="1:14" x14ac:dyDescent="0.2">
      <c r="A4" s="18" t="s">
        <v>108</v>
      </c>
      <c r="B4" s="107">
        <f>Historical!G21</f>
        <v>8.2214452984423758E-3</v>
      </c>
      <c r="C4" s="114">
        <v>0.03</v>
      </c>
      <c r="D4" s="114">
        <v>0.03</v>
      </c>
      <c r="E4" s="115">
        <v>0.03</v>
      </c>
      <c r="F4" s="114">
        <v>0.03</v>
      </c>
      <c r="G4" s="116">
        <v>0.03</v>
      </c>
      <c r="H4" s="410" t="s">
        <v>224</v>
      </c>
      <c r="I4" s="411"/>
      <c r="J4" s="411"/>
      <c r="K4" s="411"/>
      <c r="L4" s="411"/>
      <c r="M4" s="411"/>
      <c r="N4" s="412"/>
    </row>
    <row r="5" spans="1:14" x14ac:dyDescent="0.2">
      <c r="A5" s="18" t="s">
        <v>109</v>
      </c>
      <c r="B5" s="107">
        <f>Historical!G22</f>
        <v>0.18723652867138654</v>
      </c>
      <c r="C5" s="114">
        <v>0.17</v>
      </c>
      <c r="D5" s="114">
        <v>0.16</v>
      </c>
      <c r="E5" s="115">
        <v>0.15</v>
      </c>
      <c r="F5" s="114">
        <v>0.14499999999999999</v>
      </c>
      <c r="G5" s="116">
        <v>0.14000000000000001</v>
      </c>
      <c r="H5" s="410" t="s">
        <v>225</v>
      </c>
      <c r="I5" s="411"/>
      <c r="J5" s="411"/>
      <c r="K5" s="411"/>
      <c r="L5" s="411"/>
      <c r="M5" s="411"/>
      <c r="N5" s="412"/>
    </row>
    <row r="6" spans="1:14" x14ac:dyDescent="0.2">
      <c r="A6" s="18" t="s">
        <v>110</v>
      </c>
      <c r="B6" s="107">
        <f>Historical!G23</f>
        <v>5.4721462641701565E-2</v>
      </c>
      <c r="C6" s="114">
        <v>5.7000000000000002E-2</v>
      </c>
      <c r="D6" s="114">
        <v>5.8999999999999997E-2</v>
      </c>
      <c r="E6" s="115">
        <v>6.0999999999999999E-2</v>
      </c>
      <c r="F6" s="114">
        <v>6.3E-2</v>
      </c>
      <c r="G6" s="116">
        <v>6.5000000000000002E-2</v>
      </c>
      <c r="H6" s="410" t="s">
        <v>226</v>
      </c>
      <c r="I6" s="411"/>
      <c r="J6" s="411"/>
      <c r="K6" s="411"/>
      <c r="L6" s="411"/>
      <c r="M6" s="411"/>
      <c r="N6" s="412"/>
    </row>
    <row r="7" spans="1:14" x14ac:dyDescent="0.2">
      <c r="A7" s="18" t="s">
        <v>111</v>
      </c>
      <c r="B7" s="107">
        <f>Historical!G24</f>
        <v>0.11079731604896624</v>
      </c>
      <c r="C7" s="114">
        <v>0.1</v>
      </c>
      <c r="D7" s="114">
        <v>0.09</v>
      </c>
      <c r="E7" s="115">
        <v>0.08</v>
      </c>
      <c r="F7" s="114">
        <v>7.0000000000000007E-2</v>
      </c>
      <c r="G7" s="116">
        <v>6.5000000000000002E-2</v>
      </c>
      <c r="H7" s="410" t="s">
        <v>227</v>
      </c>
      <c r="I7" s="411"/>
      <c r="J7" s="411"/>
      <c r="K7" s="411"/>
      <c r="L7" s="411"/>
      <c r="M7" s="411"/>
      <c r="N7" s="412"/>
    </row>
    <row r="8" spans="1:14" x14ac:dyDescent="0.2">
      <c r="A8" s="18" t="s">
        <v>112</v>
      </c>
      <c r="B8" s="107">
        <f>Historical!G25</f>
        <v>0.31456713106803119</v>
      </c>
      <c r="C8" s="114">
        <f>$B$8</f>
        <v>0.31456713106803119</v>
      </c>
      <c r="D8" s="114">
        <f t="shared" ref="D8:G8" si="0">$B$8</f>
        <v>0.31456713106803119</v>
      </c>
      <c r="E8" s="115">
        <f t="shared" si="0"/>
        <v>0.31456713106803119</v>
      </c>
      <c r="F8" s="114">
        <f t="shared" si="0"/>
        <v>0.31456713106803119</v>
      </c>
      <c r="G8" s="116">
        <f t="shared" si="0"/>
        <v>0.31456713106803119</v>
      </c>
      <c r="H8" s="410" t="s">
        <v>174</v>
      </c>
      <c r="I8" s="411"/>
      <c r="J8" s="411"/>
      <c r="K8" s="411"/>
      <c r="L8" s="411"/>
      <c r="M8" s="411"/>
      <c r="N8" s="412"/>
    </row>
    <row r="9" spans="1:14" ht="16" thickBot="1" x14ac:dyDescent="0.25">
      <c r="A9" s="19" t="s">
        <v>138</v>
      </c>
      <c r="B9" s="108">
        <f>Inputs!$C$24</f>
        <v>0.28129999999999999</v>
      </c>
      <c r="C9" s="319">
        <f>Inputs!$C$24</f>
        <v>0.28129999999999999</v>
      </c>
      <c r="D9" s="319">
        <f>Inputs!$C$24</f>
        <v>0.28129999999999999</v>
      </c>
      <c r="E9" s="320">
        <f>Inputs!$C$24</f>
        <v>0.28129999999999999</v>
      </c>
      <c r="F9" s="319">
        <f>Inputs!$C$24</f>
        <v>0.28129999999999999</v>
      </c>
      <c r="G9" s="321">
        <f>Inputs!$C$24</f>
        <v>0.28129999999999999</v>
      </c>
      <c r="H9" s="415" t="s">
        <v>139</v>
      </c>
      <c r="I9" s="413"/>
      <c r="J9" s="413"/>
      <c r="K9" s="413"/>
      <c r="L9" s="413"/>
      <c r="M9" s="413"/>
      <c r="N9" s="414"/>
    </row>
    <row r="10" spans="1:14" ht="16" thickBot="1" x14ac:dyDescent="0.25">
      <c r="B10" s="87"/>
      <c r="C10" s="87"/>
      <c r="D10" s="87"/>
      <c r="E10" s="87"/>
      <c r="F10" s="87"/>
      <c r="G10" s="87"/>
    </row>
    <row r="11" spans="1:14" ht="16" thickBot="1" x14ac:dyDescent="0.25">
      <c r="A11" s="24" t="s">
        <v>175</v>
      </c>
      <c r="B11" s="21" t="s">
        <v>164</v>
      </c>
      <c r="C11" s="22" t="s">
        <v>165</v>
      </c>
      <c r="D11" s="22" t="s">
        <v>166</v>
      </c>
      <c r="E11" s="22" t="s">
        <v>167</v>
      </c>
      <c r="F11" s="22" t="s">
        <v>168</v>
      </c>
      <c r="G11" s="94" t="s">
        <v>169</v>
      </c>
      <c r="H11" s="447" t="s">
        <v>115</v>
      </c>
      <c r="I11" s="448"/>
      <c r="J11" s="448"/>
      <c r="K11" s="448"/>
      <c r="L11" s="448"/>
      <c r="M11" s="448"/>
      <c r="N11" s="449"/>
    </row>
    <row r="12" spans="1:14" x14ac:dyDescent="0.2">
      <c r="A12" s="110" t="s">
        <v>176</v>
      </c>
      <c r="B12" s="111">
        <v>0</v>
      </c>
      <c r="C12" s="112">
        <v>1</v>
      </c>
      <c r="D12" s="112">
        <v>2</v>
      </c>
      <c r="E12" s="112">
        <v>3</v>
      </c>
      <c r="F12" s="112">
        <v>4</v>
      </c>
      <c r="G12" s="113">
        <v>5</v>
      </c>
      <c r="H12" s="410"/>
      <c r="I12" s="411"/>
      <c r="J12" s="411"/>
      <c r="K12" s="411"/>
      <c r="L12" s="411"/>
      <c r="M12" s="411"/>
      <c r="N12" s="412"/>
    </row>
    <row r="13" spans="1:14" x14ac:dyDescent="0.2">
      <c r="A13" s="18" t="s">
        <v>88</v>
      </c>
      <c r="B13" s="109">
        <f>Historical!G6</f>
        <v>6379252</v>
      </c>
      <c r="C13" s="90">
        <f>B13*(1+C4)</f>
        <v>6570629.5600000005</v>
      </c>
      <c r="D13" s="90">
        <f>C13*(1+D4)</f>
        <v>6767748.446800001</v>
      </c>
      <c r="E13" s="90">
        <f>D13*(1+E4)</f>
        <v>6970780.900204001</v>
      </c>
      <c r="F13" s="90">
        <f>E13*(1+F4)</f>
        <v>7179904.3272101209</v>
      </c>
      <c r="G13" s="92">
        <f>F13*(1+G4)</f>
        <v>7395301.4570264248</v>
      </c>
      <c r="H13" s="410"/>
      <c r="I13" s="411"/>
      <c r="J13" s="411"/>
      <c r="K13" s="411"/>
      <c r="L13" s="411"/>
      <c r="M13" s="411"/>
      <c r="N13" s="412"/>
    </row>
    <row r="14" spans="1:14" x14ac:dyDescent="0.2">
      <c r="A14" s="117" t="s">
        <v>177</v>
      </c>
      <c r="B14" s="118">
        <f>Historical!G7+Historical!G8</f>
        <v>1543511</v>
      </c>
      <c r="C14" s="119">
        <f>C13*(C5+C6)</f>
        <v>1491532.9101200001</v>
      </c>
      <c r="D14" s="119">
        <f t="shared" ref="D14:G14" si="1">D13*(D5+D6)</f>
        <v>1482136.9098492002</v>
      </c>
      <c r="E14" s="119">
        <f t="shared" si="1"/>
        <v>1470834.7699430441</v>
      </c>
      <c r="F14" s="119">
        <f t="shared" si="1"/>
        <v>1493420.1000597051</v>
      </c>
      <c r="G14" s="120">
        <f t="shared" si="1"/>
        <v>1516036.7986904173</v>
      </c>
      <c r="H14" s="410" t="s">
        <v>178</v>
      </c>
      <c r="I14" s="411"/>
      <c r="J14" s="411"/>
      <c r="K14" s="411"/>
      <c r="L14" s="411"/>
      <c r="M14" s="411"/>
      <c r="N14" s="412"/>
    </row>
    <row r="15" spans="1:14" x14ac:dyDescent="0.2">
      <c r="A15" s="89" t="s">
        <v>179</v>
      </c>
      <c r="B15" s="109">
        <f>-Historical!G8</f>
        <v>-349082</v>
      </c>
      <c r="C15" s="90">
        <f>-C13*C6</f>
        <v>-374525.88492000004</v>
      </c>
      <c r="D15" s="90">
        <f t="shared" ref="D15:G15" si="2">-D13*D6</f>
        <v>-399297.15836120001</v>
      </c>
      <c r="E15" s="90">
        <f t="shared" si="2"/>
        <v>-425217.63491244405</v>
      </c>
      <c r="F15" s="90">
        <f t="shared" si="2"/>
        <v>-452333.97261423763</v>
      </c>
      <c r="G15" s="92">
        <f t="shared" si="2"/>
        <v>-480694.59470671765</v>
      </c>
      <c r="H15" s="410"/>
      <c r="I15" s="411"/>
      <c r="J15" s="411"/>
      <c r="K15" s="411"/>
      <c r="L15" s="411"/>
      <c r="M15" s="411"/>
      <c r="N15" s="412"/>
    </row>
    <row r="16" spans="1:14" x14ac:dyDescent="0.2">
      <c r="A16" s="117" t="s">
        <v>180</v>
      </c>
      <c r="B16" s="118">
        <f>B14+B15</f>
        <v>1194429</v>
      </c>
      <c r="C16" s="119">
        <f>C14+C15</f>
        <v>1117007.0252</v>
      </c>
      <c r="D16" s="119">
        <f>D14+D15</f>
        <v>1082839.7514880002</v>
      </c>
      <c r="E16" s="119">
        <f t="shared" ref="E16:G16" si="3">E14+E15</f>
        <v>1045617.1350306</v>
      </c>
      <c r="F16" s="119">
        <f t="shared" si="3"/>
        <v>1041086.1274454675</v>
      </c>
      <c r="G16" s="120">
        <f t="shared" si="3"/>
        <v>1035342.2039836997</v>
      </c>
      <c r="H16" s="410"/>
      <c r="I16" s="411"/>
      <c r="J16" s="411"/>
      <c r="K16" s="411"/>
      <c r="L16" s="411"/>
      <c r="M16" s="411"/>
      <c r="N16" s="412"/>
    </row>
    <row r="17" spans="1:14" x14ac:dyDescent="0.2">
      <c r="A17" s="89" t="s">
        <v>181</v>
      </c>
      <c r="B17" s="109">
        <f>-B16*B9</f>
        <v>-335992.87770000001</v>
      </c>
      <c r="C17" s="90">
        <f>-C16*C9</f>
        <v>-314214.07618875999</v>
      </c>
      <c r="D17" s="90">
        <f t="shared" ref="D17:G17" si="4">-D16*D9</f>
        <v>-304602.82209357445</v>
      </c>
      <c r="E17" s="90">
        <f t="shared" si="4"/>
        <v>-294132.10008410778</v>
      </c>
      <c r="F17" s="90">
        <f t="shared" si="4"/>
        <v>-292857.52765041002</v>
      </c>
      <c r="G17" s="92">
        <f t="shared" si="4"/>
        <v>-291241.76198061468</v>
      </c>
      <c r="H17" s="410" t="s">
        <v>182</v>
      </c>
      <c r="I17" s="411"/>
      <c r="J17" s="411"/>
      <c r="K17" s="411"/>
      <c r="L17" s="411"/>
      <c r="M17" s="411"/>
      <c r="N17" s="412"/>
    </row>
    <row r="18" spans="1:14" x14ac:dyDescent="0.2">
      <c r="A18" s="89" t="s">
        <v>183</v>
      </c>
      <c r="B18" s="109">
        <f>-B15</f>
        <v>349082</v>
      </c>
      <c r="C18" s="90">
        <f>-C15</f>
        <v>374525.88492000004</v>
      </c>
      <c r="D18" s="90">
        <f t="shared" ref="D18:G18" si="5">-D15</f>
        <v>399297.15836120001</v>
      </c>
      <c r="E18" s="90">
        <f t="shared" si="5"/>
        <v>425217.63491244405</v>
      </c>
      <c r="F18" s="90">
        <f t="shared" si="5"/>
        <v>452333.97261423763</v>
      </c>
      <c r="G18" s="92">
        <f t="shared" si="5"/>
        <v>480694.59470671765</v>
      </c>
      <c r="H18" s="410" t="s">
        <v>184</v>
      </c>
      <c r="I18" s="411"/>
      <c r="J18" s="411"/>
      <c r="K18" s="411"/>
      <c r="L18" s="411"/>
      <c r="M18" s="411"/>
      <c r="N18" s="412"/>
    </row>
    <row r="19" spans="1:14" x14ac:dyDescent="0.2">
      <c r="A19" s="117" t="s">
        <v>185</v>
      </c>
      <c r="B19" s="118">
        <f>B16+B17+B18</f>
        <v>1207518.1222999999</v>
      </c>
      <c r="C19" s="119">
        <f t="shared" ref="C19:G19" si="6">C16+C17+C18</f>
        <v>1177318.83393124</v>
      </c>
      <c r="D19" s="119">
        <f t="shared" si="6"/>
        <v>1177534.0877556256</v>
      </c>
      <c r="E19" s="119">
        <f t="shared" si="6"/>
        <v>1176702.6698589362</v>
      </c>
      <c r="F19" s="119">
        <f t="shared" si="6"/>
        <v>1200562.572409295</v>
      </c>
      <c r="G19" s="120">
        <f t="shared" si="6"/>
        <v>1224795.0367098027</v>
      </c>
      <c r="H19" s="410" t="s">
        <v>186</v>
      </c>
      <c r="I19" s="411"/>
      <c r="J19" s="411"/>
      <c r="K19" s="411"/>
      <c r="L19" s="411"/>
      <c r="M19" s="411"/>
      <c r="N19" s="412"/>
    </row>
    <row r="20" spans="1:14" x14ac:dyDescent="0.2">
      <c r="A20" s="89" t="s">
        <v>187</v>
      </c>
      <c r="B20" s="109">
        <f>-Historical!G9</f>
        <v>-706804</v>
      </c>
      <c r="C20" s="90">
        <f>-C13*C7</f>
        <v>-657062.95600000012</v>
      </c>
      <c r="D20" s="90">
        <f t="shared" ref="D20:G20" si="7">-D13*D7</f>
        <v>-609097.36021200009</v>
      </c>
      <c r="E20" s="90">
        <f t="shared" si="7"/>
        <v>-557662.4720163201</v>
      </c>
      <c r="F20" s="90">
        <f t="shared" si="7"/>
        <v>-502593.30290470849</v>
      </c>
      <c r="G20" s="92">
        <f t="shared" si="7"/>
        <v>-480694.59470671765</v>
      </c>
      <c r="H20" s="410"/>
      <c r="I20" s="411"/>
      <c r="J20" s="411"/>
      <c r="K20" s="411"/>
      <c r="L20" s="411"/>
      <c r="M20" s="411"/>
      <c r="N20" s="412"/>
    </row>
    <row r="21" spans="1:14" x14ac:dyDescent="0.2">
      <c r="A21" s="18" t="s">
        <v>101</v>
      </c>
      <c r="B21" s="109">
        <f>Historical!G13</f>
        <v>2006703</v>
      </c>
      <c r="C21" s="90">
        <f>C13*C8</f>
        <v>2066904.0900000003</v>
      </c>
      <c r="D21" s="90">
        <f t="shared" ref="D21:G21" si="8">D13*D8</f>
        <v>2128911.2127000005</v>
      </c>
      <c r="E21" s="90">
        <f t="shared" si="8"/>
        <v>2192778.5490810005</v>
      </c>
      <c r="F21" s="90">
        <f t="shared" si="8"/>
        <v>2258561.9055534303</v>
      </c>
      <c r="G21" s="92">
        <f t="shared" si="8"/>
        <v>2326318.7627200335</v>
      </c>
      <c r="H21" s="410" t="s">
        <v>188</v>
      </c>
      <c r="I21" s="411"/>
      <c r="J21" s="411"/>
      <c r="K21" s="411"/>
      <c r="L21" s="411"/>
      <c r="M21" s="411"/>
      <c r="N21" s="412"/>
    </row>
    <row r="22" spans="1:14" x14ac:dyDescent="0.2">
      <c r="A22" s="89" t="s">
        <v>189</v>
      </c>
      <c r="B22" s="109"/>
      <c r="C22" s="90">
        <f>-(C21-B21)</f>
        <v>-60201.090000000317</v>
      </c>
      <c r="D22" s="90">
        <f t="shared" ref="D22:G22" si="9">-(D21-C21)</f>
        <v>-62007.122700000182</v>
      </c>
      <c r="E22" s="90">
        <f t="shared" si="9"/>
        <v>-63867.336381000001</v>
      </c>
      <c r="F22" s="90">
        <f t="shared" si="9"/>
        <v>-65783.356472429819</v>
      </c>
      <c r="G22" s="92">
        <f t="shared" si="9"/>
        <v>-67756.857166603208</v>
      </c>
      <c r="H22" s="410"/>
      <c r="I22" s="411"/>
      <c r="J22" s="411"/>
      <c r="K22" s="411"/>
      <c r="L22" s="411"/>
      <c r="M22" s="411"/>
      <c r="N22" s="412"/>
    </row>
    <row r="23" spans="1:14" x14ac:dyDescent="0.2">
      <c r="A23" s="117" t="s">
        <v>175</v>
      </c>
      <c r="B23" s="118"/>
      <c r="C23" s="119">
        <f>C19+C20+C22</f>
        <v>460054.78793123958</v>
      </c>
      <c r="D23" s="119">
        <f t="shared" ref="D23:G23" si="10">D19+D20+D22</f>
        <v>506429.60484362533</v>
      </c>
      <c r="E23" s="119">
        <f t="shared" si="10"/>
        <v>555172.86146161612</v>
      </c>
      <c r="F23" s="119">
        <f t="shared" si="10"/>
        <v>632185.91303215665</v>
      </c>
      <c r="G23" s="120">
        <f t="shared" si="10"/>
        <v>676343.58483648184</v>
      </c>
      <c r="H23" s="410" t="s">
        <v>190</v>
      </c>
      <c r="I23" s="411"/>
      <c r="J23" s="411"/>
      <c r="K23" s="411"/>
      <c r="L23" s="411"/>
      <c r="M23" s="411"/>
      <c r="N23" s="412"/>
    </row>
    <row r="24" spans="1:14" x14ac:dyDescent="0.2">
      <c r="A24" s="18" t="s">
        <v>191</v>
      </c>
      <c r="B24" s="109"/>
      <c r="C24" s="91">
        <f>1/(1+$B$29)^C12</f>
        <v>0.9444623692203139</v>
      </c>
      <c r="D24" s="91">
        <f>1/(1+$B$29)^D12</f>
        <v>0.89200916687324872</v>
      </c>
      <c r="E24" s="91">
        <f>1/(1+$B$29)^E12</f>
        <v>0.84246909111134682</v>
      </c>
      <c r="F24" s="91">
        <f>1/(1+$B$29)^F12</f>
        <v>0.79568035378590729</v>
      </c>
      <c r="G24" s="93">
        <f>1/(1+$B$29)^G12</f>
        <v>0.75149015207869552</v>
      </c>
      <c r="H24" s="410" t="s">
        <v>192</v>
      </c>
      <c r="I24" s="411"/>
      <c r="J24" s="411"/>
      <c r="K24" s="411"/>
      <c r="L24" s="411"/>
      <c r="M24" s="411"/>
      <c r="N24" s="412"/>
    </row>
    <row r="25" spans="1:14" ht="16" thickBot="1" x14ac:dyDescent="0.25">
      <c r="A25" s="346" t="s">
        <v>193</v>
      </c>
      <c r="B25" s="345"/>
      <c r="C25" s="347">
        <f>C23*C24</f>
        <v>434504.43498068763</v>
      </c>
      <c r="D25" s="347">
        <f t="shared" ref="D25:G25" si="11">D23*D24</f>
        <v>451739.84989651077</v>
      </c>
      <c r="E25" s="347">
        <f t="shared" si="11"/>
        <v>467715.97600525338</v>
      </c>
      <c r="F25" s="347">
        <f t="shared" si="11"/>
        <v>503017.91093989322</v>
      </c>
      <c r="G25" s="348">
        <f t="shared" si="11"/>
        <v>508265.54342621786</v>
      </c>
      <c r="H25" s="415"/>
      <c r="I25" s="413"/>
      <c r="J25" s="413"/>
      <c r="K25" s="413"/>
      <c r="L25" s="413"/>
      <c r="M25" s="413"/>
      <c r="N25" s="414"/>
    </row>
    <row r="27" spans="1:14" ht="16" thickBot="1" x14ac:dyDescent="0.25"/>
    <row r="28" spans="1:14" ht="16" thickBot="1" x14ac:dyDescent="0.25">
      <c r="A28" s="24" t="s">
        <v>194</v>
      </c>
      <c r="B28" s="280" t="s">
        <v>4</v>
      </c>
      <c r="C28" s="94" t="s">
        <v>5</v>
      </c>
      <c r="D28" s="447" t="s">
        <v>115</v>
      </c>
      <c r="E28" s="448"/>
      <c r="F28" s="448"/>
      <c r="G28" s="448"/>
      <c r="H28" s="448"/>
      <c r="I28" s="448"/>
      <c r="J28" s="448"/>
      <c r="K28" s="448"/>
      <c r="L28" s="449"/>
    </row>
    <row r="29" spans="1:14" x14ac:dyDescent="0.2">
      <c r="A29" s="18" t="s">
        <v>8</v>
      </c>
      <c r="B29" s="102">
        <f>WACC!C24</f>
        <v>5.8803434196678696E-2</v>
      </c>
      <c r="C29" s="300" t="s">
        <v>7</v>
      </c>
      <c r="D29" s="410"/>
      <c r="E29" s="411"/>
      <c r="F29" s="411"/>
      <c r="G29" s="411"/>
      <c r="H29" s="411"/>
      <c r="I29" s="411"/>
      <c r="J29" s="411"/>
      <c r="K29" s="411"/>
      <c r="L29" s="412"/>
    </row>
    <row r="30" spans="1:14" x14ac:dyDescent="0.2">
      <c r="A30" s="18" t="s">
        <v>195</v>
      </c>
      <c r="B30" s="102">
        <f>Inputs!C14</f>
        <v>0.02</v>
      </c>
      <c r="C30" s="95" t="s">
        <v>7</v>
      </c>
      <c r="D30" s="410"/>
      <c r="E30" s="411"/>
      <c r="F30" s="411"/>
      <c r="G30" s="411"/>
      <c r="H30" s="411"/>
      <c r="I30" s="411"/>
      <c r="J30" s="411"/>
      <c r="K30" s="411"/>
      <c r="L30" s="412"/>
    </row>
    <row r="31" spans="1:14" x14ac:dyDescent="0.2">
      <c r="A31" s="18" t="s">
        <v>196</v>
      </c>
      <c r="B31" s="102">
        <f>Historical!G7*(1-Inputs!C24)/(Historical!G17+Historical!G14-Historical!G15-Historical!G16)</f>
        <v>0.14044544332340955</v>
      </c>
      <c r="C31" s="95" t="s">
        <v>7</v>
      </c>
      <c r="D31" s="410" t="s">
        <v>197</v>
      </c>
      <c r="E31" s="411"/>
      <c r="F31" s="411"/>
      <c r="G31" s="411"/>
      <c r="H31" s="411"/>
      <c r="I31" s="411"/>
      <c r="J31" s="411"/>
      <c r="K31" s="411"/>
      <c r="L31" s="412"/>
    </row>
    <row r="32" spans="1:14" x14ac:dyDescent="0.2">
      <c r="A32" s="18" t="s">
        <v>198</v>
      </c>
      <c r="B32" s="102">
        <f>B30/B31</f>
        <v>0.14240405047492477</v>
      </c>
      <c r="C32" s="95" t="s">
        <v>7</v>
      </c>
      <c r="D32" s="410" t="s">
        <v>199</v>
      </c>
      <c r="E32" s="411"/>
      <c r="F32" s="411"/>
      <c r="G32" s="411"/>
      <c r="H32" s="411"/>
      <c r="I32" s="411"/>
      <c r="J32" s="411"/>
      <c r="K32" s="411"/>
      <c r="L32" s="412"/>
    </row>
    <row r="33" spans="1:12" x14ac:dyDescent="0.2">
      <c r="A33" s="18" t="s">
        <v>200</v>
      </c>
      <c r="B33" s="103">
        <f>G16*(1-G9)*(1+B30)*(1-B32)</f>
        <v>650900.27560369705</v>
      </c>
      <c r="C33" s="95" t="s">
        <v>74</v>
      </c>
      <c r="D33" s="410" t="s">
        <v>201</v>
      </c>
      <c r="E33" s="411"/>
      <c r="F33" s="411"/>
      <c r="G33" s="411"/>
      <c r="H33" s="411"/>
      <c r="I33" s="411"/>
      <c r="J33" s="411"/>
      <c r="K33" s="411"/>
      <c r="L33" s="412"/>
    </row>
    <row r="34" spans="1:12" x14ac:dyDescent="0.2">
      <c r="A34" s="18" t="s">
        <v>202</v>
      </c>
      <c r="B34" s="103">
        <f>B33/(B29-B30)</f>
        <v>16774295.602408551</v>
      </c>
      <c r="C34" s="95" t="s">
        <v>74</v>
      </c>
      <c r="D34" s="410" t="s">
        <v>203</v>
      </c>
      <c r="E34" s="411"/>
      <c r="F34" s="411"/>
      <c r="G34" s="411"/>
      <c r="H34" s="411"/>
      <c r="I34" s="411"/>
      <c r="J34" s="411"/>
      <c r="K34" s="411"/>
      <c r="L34" s="412"/>
    </row>
    <row r="35" spans="1:12" x14ac:dyDescent="0.2">
      <c r="A35" s="18" t="s">
        <v>204</v>
      </c>
      <c r="B35" s="103">
        <f>B34*G24</f>
        <v>12605717.953266995</v>
      </c>
      <c r="C35" s="95" t="s">
        <v>74</v>
      </c>
      <c r="D35" s="410" t="s">
        <v>205</v>
      </c>
      <c r="E35" s="411"/>
      <c r="F35" s="411"/>
      <c r="G35" s="411"/>
      <c r="H35" s="411"/>
      <c r="I35" s="411"/>
      <c r="J35" s="411"/>
      <c r="K35" s="411"/>
      <c r="L35" s="412"/>
    </row>
    <row r="36" spans="1:12" x14ac:dyDescent="0.2">
      <c r="A36" s="18" t="s">
        <v>206</v>
      </c>
      <c r="B36" s="103">
        <f>SUM(C25:G25)</f>
        <v>2365243.7152485629</v>
      </c>
      <c r="C36" s="95" t="s">
        <v>74</v>
      </c>
      <c r="D36" s="410"/>
      <c r="E36" s="411"/>
      <c r="F36" s="411"/>
      <c r="G36" s="411"/>
      <c r="H36" s="411"/>
      <c r="I36" s="411"/>
      <c r="J36" s="411"/>
      <c r="K36" s="411"/>
      <c r="L36" s="412"/>
    </row>
    <row r="37" spans="1:12" x14ac:dyDescent="0.2">
      <c r="A37" s="340" t="s">
        <v>207</v>
      </c>
      <c r="B37" s="343">
        <f>B35+B36</f>
        <v>14970961.668515557</v>
      </c>
      <c r="C37" s="344" t="s">
        <v>74</v>
      </c>
      <c r="D37" s="410" t="s">
        <v>208</v>
      </c>
      <c r="E37" s="411"/>
      <c r="F37" s="411"/>
      <c r="G37" s="411"/>
      <c r="H37" s="411"/>
      <c r="I37" s="411"/>
      <c r="J37" s="411"/>
      <c r="K37" s="411"/>
      <c r="L37" s="412"/>
    </row>
    <row r="38" spans="1:12" x14ac:dyDescent="0.2">
      <c r="A38" s="18" t="s">
        <v>209</v>
      </c>
      <c r="B38" s="104">
        <f>B35/B37</f>
        <v>0.84201123697866709</v>
      </c>
      <c r="C38" s="95" t="s">
        <v>7</v>
      </c>
      <c r="D38" s="410"/>
      <c r="E38" s="411"/>
      <c r="F38" s="411"/>
      <c r="G38" s="411"/>
      <c r="H38" s="411"/>
      <c r="I38" s="411"/>
      <c r="J38" s="411"/>
      <c r="K38" s="411"/>
      <c r="L38" s="412"/>
    </row>
    <row r="39" spans="1:12" x14ac:dyDescent="0.2">
      <c r="A39" s="89" t="s">
        <v>210</v>
      </c>
      <c r="B39" s="103">
        <f>-Historical!G14</f>
        <v>-1532646</v>
      </c>
      <c r="C39" s="95" t="s">
        <v>74</v>
      </c>
      <c r="D39" s="410"/>
      <c r="E39" s="411"/>
      <c r="F39" s="411"/>
      <c r="G39" s="411"/>
      <c r="H39" s="411"/>
      <c r="I39" s="411"/>
      <c r="J39" s="411"/>
      <c r="K39" s="411"/>
      <c r="L39" s="412"/>
    </row>
    <row r="40" spans="1:12" x14ac:dyDescent="0.2">
      <c r="A40" s="89" t="s">
        <v>211</v>
      </c>
      <c r="B40" s="103">
        <f>Historical!G15</f>
        <v>1773298</v>
      </c>
      <c r="C40" s="95" t="s">
        <v>74</v>
      </c>
      <c r="D40" s="410"/>
      <c r="E40" s="411"/>
      <c r="F40" s="411"/>
      <c r="G40" s="411"/>
      <c r="H40" s="411"/>
      <c r="I40" s="411"/>
      <c r="J40" s="411"/>
      <c r="K40" s="411"/>
      <c r="L40" s="412"/>
    </row>
    <row r="41" spans="1:12" x14ac:dyDescent="0.2">
      <c r="A41" s="89" t="s">
        <v>212</v>
      </c>
      <c r="B41" s="103">
        <f>Historical!G16</f>
        <v>1234782</v>
      </c>
      <c r="C41" s="95" t="s">
        <v>74</v>
      </c>
      <c r="D41" s="410"/>
      <c r="E41" s="411"/>
      <c r="F41" s="411"/>
      <c r="G41" s="411"/>
      <c r="H41" s="411"/>
      <c r="I41" s="411"/>
      <c r="J41" s="411"/>
      <c r="K41" s="411"/>
      <c r="L41" s="412"/>
    </row>
    <row r="42" spans="1:12" x14ac:dyDescent="0.2">
      <c r="A42" s="340" t="s">
        <v>213</v>
      </c>
      <c r="B42" s="343">
        <f>B37+B39+B40+B41</f>
        <v>16446395.668515557</v>
      </c>
      <c r="C42" s="344" t="s">
        <v>74</v>
      </c>
      <c r="D42" s="410" t="s">
        <v>214</v>
      </c>
      <c r="E42" s="411"/>
      <c r="F42" s="411"/>
      <c r="G42" s="411"/>
      <c r="H42" s="411"/>
      <c r="I42" s="411"/>
      <c r="J42" s="411"/>
      <c r="K42" s="411"/>
      <c r="L42" s="412"/>
    </row>
    <row r="43" spans="1:12" x14ac:dyDescent="0.2">
      <c r="A43" s="18" t="s">
        <v>215</v>
      </c>
      <c r="B43" s="105">
        <f>Inputs!C10</f>
        <v>121.988753</v>
      </c>
      <c r="C43" s="95" t="s">
        <v>61</v>
      </c>
      <c r="D43" s="410"/>
      <c r="E43" s="411"/>
      <c r="F43" s="411"/>
      <c r="G43" s="411"/>
      <c r="H43" s="411"/>
      <c r="I43" s="411"/>
      <c r="J43" s="411"/>
      <c r="K43" s="411"/>
      <c r="L43" s="412"/>
    </row>
    <row r="44" spans="1:12" x14ac:dyDescent="0.2">
      <c r="A44" s="340" t="s">
        <v>228</v>
      </c>
      <c r="B44" s="343">
        <f>B42*Inputs!C12/1000/B43</f>
        <v>198911.87976425872</v>
      </c>
      <c r="C44" s="339" t="s">
        <v>229</v>
      </c>
      <c r="D44" s="410" t="s">
        <v>230</v>
      </c>
      <c r="E44" s="411"/>
      <c r="F44" s="411"/>
      <c r="G44" s="411"/>
      <c r="H44" s="411"/>
      <c r="I44" s="411"/>
      <c r="J44" s="411"/>
      <c r="K44" s="411"/>
      <c r="L44" s="412"/>
    </row>
    <row r="45" spans="1:12" x14ac:dyDescent="0.2">
      <c r="A45" s="18" t="s">
        <v>231</v>
      </c>
      <c r="B45" s="103">
        <f>Inputs!C11</f>
        <v>38400</v>
      </c>
      <c r="C45" s="95" t="s">
        <v>229</v>
      </c>
      <c r="D45" s="410"/>
      <c r="E45" s="411"/>
      <c r="F45" s="411"/>
      <c r="G45" s="411"/>
      <c r="H45" s="411"/>
      <c r="I45" s="411"/>
      <c r="J45" s="411"/>
      <c r="K45" s="411"/>
      <c r="L45" s="412"/>
    </row>
    <row r="46" spans="1:12" ht="16" thickBot="1" x14ac:dyDescent="0.25">
      <c r="A46" s="19" t="s">
        <v>220</v>
      </c>
      <c r="B46" s="106">
        <f>B44/B45-1</f>
        <v>4.1799968688609042</v>
      </c>
      <c r="C46" s="96" t="s">
        <v>7</v>
      </c>
      <c r="D46" s="415"/>
      <c r="E46" s="413"/>
      <c r="F46" s="413"/>
      <c r="G46" s="413"/>
      <c r="H46" s="413"/>
      <c r="I46" s="413"/>
      <c r="J46" s="413"/>
      <c r="K46" s="413"/>
      <c r="L46" s="414"/>
    </row>
    <row r="48" spans="1:12" ht="16" thickBot="1" x14ac:dyDescent="0.25"/>
    <row r="49" spans="1:7" ht="16" thickBot="1" x14ac:dyDescent="0.25">
      <c r="A49" s="407" t="s">
        <v>232</v>
      </c>
      <c r="B49" s="408"/>
      <c r="C49" s="408"/>
      <c r="D49" s="409"/>
    </row>
    <row r="50" spans="1:7" ht="16" thickBot="1" x14ac:dyDescent="0.25">
      <c r="A50" s="100" t="s">
        <v>222</v>
      </c>
      <c r="B50" s="283">
        <v>1.4999999999999999E-2</v>
      </c>
      <c r="C50" s="283">
        <v>0.02</v>
      </c>
      <c r="D50" s="284">
        <v>2.5000000000000001E-2</v>
      </c>
      <c r="G50" s="78"/>
    </row>
    <row r="51" spans="1:7" x14ac:dyDescent="0.2">
      <c r="A51" s="285">
        <f>$B$29-0.01</f>
        <v>4.8803434196678694E-2</v>
      </c>
      <c r="B51" s="78" cm="1">
        <f t="array" ref="B51">(SUMPRODUCT($C$23:$G$23/(1+$A51)^$C$12:$G$12)+$G$16*(1-$G$9)*(1+B$50)*(1-B$50/$B$31)/($A51-B$50)/(1+$A51)^5+$B$39+$B$40+$B$41)*Inputs!$C$12/1000/$B$43</f>
        <v>237500.44190576504</v>
      </c>
      <c r="C51" s="78" cm="1">
        <f t="array" ref="C51">(SUMPRODUCT($C$23:$G$23/(1+$A51)^$C$12:$G$12)+$G$16*(1-$G$9)*(1+C$50)*(1-C$50/$B$31)/($A51-C$50)/(1+$A51)^5+$B$39+$B$40+$B$41)*Inputs!$C$12/1000/$B$43</f>
        <v>262675.72389810678</v>
      </c>
      <c r="D51" s="4" cm="1">
        <f t="array" ref="D51">(SUMPRODUCT($C$23:$G$23/(1+$A51)^$C$12:$G$12)+$G$16*(1-$G$9)*(1+D$50)*(1-D$50/$B$31)/($A51-D$50)/(1+$A51)^5+$B$39+$B$40+$B$41)*Inputs!$C$12/1000/$B$43</f>
        <v>298321.26395644079</v>
      </c>
    </row>
    <row r="52" spans="1:7" x14ac:dyDescent="0.2">
      <c r="A52" s="285">
        <f>$B$29-0.005</f>
        <v>5.3803434196678698E-2</v>
      </c>
      <c r="B52" s="78" cm="1">
        <f t="array" ref="B52">(SUMPRODUCT($C$23:$G$23/(1+$A52)^$C$12:$G$12)+$G$16*(1-$G$9)*(1+B$50)*(1-B$50/$B$31)/($A52-B$50)/(1+$A52)^5+$B$39+$B$40+$B$41)*Inputs!$C$12/1000/$B$43</f>
        <v>208668.18392409297</v>
      </c>
      <c r="C52" s="78" cm="1">
        <f t="array" ref="C52">(SUMPRODUCT($C$23:$G$23/(1+$A52)^$C$12:$G$12)+$G$16*(1-$G$9)*(1+C$50)*(1-C$50/$B$31)/($A52-C$50)/(1+$A52)^5+$B$39+$B$40+$B$41)*Inputs!$C$12/1000/$B$43</f>
        <v>226075.73880015832</v>
      </c>
      <c r="D52" s="4" cm="1">
        <f t="array" ref="D52">(SUMPRODUCT($C$23:$G$23/(1+$A52)^$C$12:$G$12)+$G$16*(1-$G$9)*(1+D$50)*(1-D$50/$B$31)/($A52-D$50)/(1+$A52)^5+$B$39+$B$40+$B$41)*Inputs!$C$12/1000/$B$43</f>
        <v>249441.26925382219</v>
      </c>
    </row>
    <row r="53" spans="1:7" x14ac:dyDescent="0.2">
      <c r="A53" s="285">
        <f>$B$29</f>
        <v>5.8803434196678696E-2</v>
      </c>
      <c r="B53" s="78" cm="1">
        <f t="array" ref="B53">(SUMPRODUCT($C$23:$G$23/(1+$A53)^$C$12:$G$12)+$G$16*(1-$G$9)*(1+B$50)*(1-B$50/$B$31)/($A53-B$50)/(1+$A53)^5+$B$39+$B$40+$B$41)*Inputs!$C$12/1000/$B$43</f>
        <v>186426.13229616339</v>
      </c>
      <c r="C53" s="288" cm="1">
        <f t="array" ref="C53">(SUMPRODUCT($C$23:$G$23/(1+$A53)^$C$12:$G$12)+$G$16*(1-$G$9)*(1+C$50)*(1-C$50/$B$31)/($A53-C$50)/(1+$A53)^5+$B$39+$B$40+$B$41)*Inputs!$C$12/1000/$B$43</f>
        <v>198911.87976425875</v>
      </c>
      <c r="D53" s="4" cm="1">
        <f t="array" ref="D53">(SUMPRODUCT($C$23:$G$23/(1+$A53)^$C$12:$G$12)+$G$16*(1-$G$9)*(1+D$50)*(1-D$50/$B$31)/($A53-D$50)/(1+$A53)^5+$B$39+$B$40+$B$41)*Inputs!$C$12/1000/$B$43</f>
        <v>215020.03279140979</v>
      </c>
    </row>
    <row r="54" spans="1:7" x14ac:dyDescent="0.2">
      <c r="A54" s="285">
        <f>$B$29+0.005</f>
        <v>6.3803434196678693E-2</v>
      </c>
      <c r="B54" s="78" cm="1">
        <f t="array" ref="B54">(SUMPRODUCT($C$23:$G$23/(1+$A54)^$C$12:$G$12)+$G$16*(1-$G$9)*(1+B$50)*(1-B$50/$B$31)/($A54-B$50)/(1+$A54)^5+$B$39+$B$40+$B$41)*Inputs!$C$12/1000/$B$43</f>
        <v>168748.59236851477</v>
      </c>
      <c r="C54" s="78" cm="1">
        <f t="array" ref="C54">(SUMPRODUCT($C$23:$G$23/(1+$A54)^$C$12:$G$12)+$G$16*(1-$G$9)*(1+C$50)*(1-C$50/$B$31)/($A54-C$50)/(1+$A54)^5+$B$39+$B$40+$B$41)*Inputs!$C$12/1000/$B$43</f>
        <v>177952.81465396</v>
      </c>
      <c r="D54" s="4" cm="1">
        <f t="array" ref="D54">(SUMPRODUCT($C$23:$G$23/(1+$A54)^$C$12:$G$12)+$G$16*(1-$G$9)*(1+D$50)*(1-D$50/$B$31)/($A54-D$50)/(1+$A54)^5+$B$39+$B$40+$B$41)*Inputs!$C$12/1000/$B$43</f>
        <v>189468.44446196832</v>
      </c>
      <c r="G54" s="78"/>
    </row>
    <row r="55" spans="1:7" ht="16" thickBot="1" x14ac:dyDescent="0.25">
      <c r="A55" s="286">
        <f>$B$29+0.01</f>
        <v>6.8803434196678698E-2</v>
      </c>
      <c r="B55" s="88" cm="1">
        <f t="array" ref="B55">(SUMPRODUCT($C$23:$G$23/(1+$A55)^$C$12:$G$12)+$G$16*(1-$G$9)*(1+B$50)*(1-B$50/$B$31)/($A55-B$50)/(1+$A55)^5+$B$39+$B$40+$B$41)*Inputs!$C$12/1000/$B$43</f>
        <v>154362.87159576631</v>
      </c>
      <c r="C55" s="88" cm="1">
        <f t="array" ref="C55">(SUMPRODUCT($C$23:$G$23/(1+$A55)^$C$12:$G$12)+$G$16*(1-$G$9)*(1+C$50)*(1-C$50/$B$31)/($A55-C$50)/(1+$A55)^5+$B$39+$B$40+$B$41)*Inputs!$C$12/1000/$B$43</f>
        <v>161291.4342011979</v>
      </c>
      <c r="D55" s="16" cm="1">
        <f t="array" ref="D55">(SUMPRODUCT($C$23:$G$23/(1+$A55)^$C$12:$G$12)+$G$16*(1-$G$9)*(1+D$50)*(1-D$50/$B$31)/($A55-D$50)/(1+$A55)^5+$B$39+$B$40+$B$41)*Inputs!$C$12/1000/$B$43</f>
        <v>169749.29351637233</v>
      </c>
    </row>
    <row r="56" spans="1:7" x14ac:dyDescent="0.2">
      <c r="G56" s="79"/>
    </row>
    <row r="58" spans="1:7" x14ac:dyDescent="0.2">
      <c r="G58" s="79"/>
    </row>
    <row r="60" spans="1:7" x14ac:dyDescent="0.2">
      <c r="G60" s="77"/>
    </row>
  </sheetData>
  <mergeCells count="43">
    <mergeCell ref="A1:B1"/>
    <mergeCell ref="A49:D49"/>
    <mergeCell ref="D43:L43"/>
    <mergeCell ref="D44:L44"/>
    <mergeCell ref="D45:L45"/>
    <mergeCell ref="D46:L46"/>
    <mergeCell ref="D41:L41"/>
    <mergeCell ref="D42:L42"/>
    <mergeCell ref="D28:L28"/>
    <mergeCell ref="D29:L29"/>
    <mergeCell ref="D30:L30"/>
    <mergeCell ref="D31:L31"/>
    <mergeCell ref="D32:L32"/>
    <mergeCell ref="D33:L33"/>
    <mergeCell ref="D34:L34"/>
    <mergeCell ref="D35:L35"/>
    <mergeCell ref="D36:L36"/>
    <mergeCell ref="D37:L37"/>
    <mergeCell ref="D38:L38"/>
    <mergeCell ref="D39:L39"/>
    <mergeCell ref="D40:L40"/>
    <mergeCell ref="H22:N22"/>
    <mergeCell ref="H23:N23"/>
    <mergeCell ref="H24:N24"/>
    <mergeCell ref="H25:N25"/>
    <mergeCell ref="H16:N16"/>
    <mergeCell ref="H17:N17"/>
    <mergeCell ref="H18:N18"/>
    <mergeCell ref="H19:N19"/>
    <mergeCell ref="H20:N20"/>
    <mergeCell ref="H21:N21"/>
    <mergeCell ref="H15:N15"/>
    <mergeCell ref="H3:N3"/>
    <mergeCell ref="H4:N4"/>
    <mergeCell ref="H5:N5"/>
    <mergeCell ref="H6:N6"/>
    <mergeCell ref="H7:N7"/>
    <mergeCell ref="H8:N8"/>
    <mergeCell ref="H9:N9"/>
    <mergeCell ref="H11:N11"/>
    <mergeCell ref="H12:N12"/>
    <mergeCell ref="H13:N13"/>
    <mergeCell ref="H14:N1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50547D-E1E9-074E-8706-618EE6D85024}">
  <dimension ref="A1:K32"/>
  <sheetViews>
    <sheetView zoomScale="150" workbookViewId="0">
      <selection sqref="A1:B1"/>
    </sheetView>
  </sheetViews>
  <sheetFormatPr baseColWidth="10" defaultColWidth="11.5" defaultRowHeight="15" x14ac:dyDescent="0.2"/>
  <cols>
    <col min="1" max="1" width="35.83203125" customWidth="1"/>
    <col min="2" max="3" width="15.83203125" customWidth="1"/>
    <col min="4" max="4" width="15.83203125" style="2" customWidth="1"/>
  </cols>
  <sheetData>
    <row r="1" spans="1:11" x14ac:dyDescent="0.2">
      <c r="A1" s="450" t="s">
        <v>233</v>
      </c>
      <c r="B1" s="450"/>
    </row>
    <row r="2" spans="1:11" x14ac:dyDescent="0.2">
      <c r="A2" s="411" t="s">
        <v>234</v>
      </c>
      <c r="B2" s="411"/>
    </row>
    <row r="3" spans="1:11" ht="16" thickBot="1" x14ac:dyDescent="0.25">
      <c r="A3" s="1"/>
      <c r="B3" s="3"/>
      <c r="C3" s="3"/>
      <c r="D3" s="3"/>
      <c r="E3" s="1"/>
    </row>
    <row r="4" spans="1:11" ht="16" thickBot="1" x14ac:dyDescent="0.25">
      <c r="A4" s="24" t="s">
        <v>235</v>
      </c>
      <c r="B4" s="31" t="s">
        <v>3</v>
      </c>
      <c r="C4" s="32" t="s">
        <v>4</v>
      </c>
      <c r="D4" s="22" t="s">
        <v>5</v>
      </c>
      <c r="E4" s="448" t="s">
        <v>50</v>
      </c>
      <c r="F4" s="448"/>
      <c r="G4" s="448"/>
      <c r="H4" s="448"/>
      <c r="I4" s="448"/>
      <c r="J4" s="448"/>
      <c r="K4" s="449"/>
    </row>
    <row r="5" spans="1:11" x14ac:dyDescent="0.2">
      <c r="A5" s="18" t="s">
        <v>18</v>
      </c>
      <c r="B5" s="38">
        <v>5.726</v>
      </c>
      <c r="C5" s="36">
        <f>B5</f>
        <v>5.726</v>
      </c>
      <c r="D5" s="58" t="s">
        <v>20</v>
      </c>
      <c r="E5" s="424" t="str">
        <f>HYPERLINK("https://pages.stern.nyu.edu/~adamodar/pc/archives/vebitdaGlobal24.xls", "Damodaran, vebitdaGlobal24.xls (05/01/2025), D86 - positive EBITDA firms")</f>
        <v>Damodaran, vebitdaGlobal24.xls (05/01/2025), D86 - positive EBITDA firms</v>
      </c>
      <c r="F5" s="424"/>
      <c r="G5" s="424"/>
      <c r="H5" s="424"/>
      <c r="I5" s="424"/>
      <c r="J5" s="424"/>
      <c r="K5" s="425"/>
    </row>
    <row r="6" spans="1:11" x14ac:dyDescent="0.2">
      <c r="A6" s="18" t="s">
        <v>236</v>
      </c>
      <c r="B6" s="38">
        <v>10.9232</v>
      </c>
      <c r="C6" s="36">
        <f t="shared" ref="C6:C7" si="0">B6</f>
        <v>10.9232</v>
      </c>
      <c r="D6" s="58" t="s">
        <v>20</v>
      </c>
      <c r="E6" s="424" t="str">
        <f>HYPERLINK("https://pages.stern.nyu.edu/~adamodar/pc/archives/peGlobal24.xls", "Damodaran, peGlobal24.xls (05/01/2025), H85 - money-making firms")</f>
        <v>Damodaran, peGlobal24.xls (05/01/2025), H85 - money-making firms</v>
      </c>
      <c r="F6" s="424"/>
      <c r="G6" s="424"/>
      <c r="H6" s="424"/>
      <c r="I6" s="424"/>
      <c r="J6" s="424"/>
      <c r="K6" s="425"/>
    </row>
    <row r="7" spans="1:11" ht="16" thickBot="1" x14ac:dyDescent="0.25">
      <c r="A7" s="19" t="s">
        <v>237</v>
      </c>
      <c r="B7" s="26">
        <v>1.0723</v>
      </c>
      <c r="C7" s="28">
        <f t="shared" si="0"/>
        <v>1.0723</v>
      </c>
      <c r="D7" s="63" t="s">
        <v>20</v>
      </c>
      <c r="E7" s="427" t="str">
        <f>HYPERLINK("https://pages.stern.nyu.edu/~adamodar/pc/archives/pbvGlobal24.xls", "Damodaran, pbvGlobal24.xls (05/01/2025), C85")</f>
        <v>Damodaran, pbvGlobal24.xls (05/01/2025), C85</v>
      </c>
      <c r="F7" s="427"/>
      <c r="G7" s="427"/>
      <c r="H7" s="427"/>
      <c r="I7" s="427"/>
      <c r="J7" s="427"/>
      <c r="K7" s="428"/>
    </row>
    <row r="8" spans="1:11" ht="16" thickBot="1" x14ac:dyDescent="0.25"/>
    <row r="9" spans="1:11" ht="16" thickBot="1" x14ac:dyDescent="0.25">
      <c r="A9" s="24" t="s">
        <v>238</v>
      </c>
      <c r="B9" s="31" t="s">
        <v>3</v>
      </c>
      <c r="C9" s="32" t="s">
        <v>4</v>
      </c>
      <c r="D9" s="22" t="s">
        <v>5</v>
      </c>
      <c r="E9" s="448" t="s">
        <v>50</v>
      </c>
      <c r="F9" s="448"/>
      <c r="G9" s="448"/>
      <c r="H9" s="448"/>
      <c r="I9" s="448"/>
      <c r="J9" s="448"/>
      <c r="K9" s="449"/>
    </row>
    <row r="10" spans="1:11" x14ac:dyDescent="0.2">
      <c r="A10" s="18" t="s">
        <v>177</v>
      </c>
      <c r="B10" s="7">
        <f>Historical!D7+Historical!D8</f>
        <v>1477940</v>
      </c>
      <c r="C10" s="11">
        <f>Historical!G7+Historical!G8</f>
        <v>1543511</v>
      </c>
      <c r="D10" s="58" t="s">
        <v>74</v>
      </c>
      <c r="E10" s="411" t="s">
        <v>239</v>
      </c>
      <c r="F10" s="411"/>
      <c r="G10" s="411"/>
      <c r="H10" s="411"/>
      <c r="I10" s="411"/>
      <c r="J10" s="411"/>
      <c r="K10" s="412"/>
    </row>
    <row r="11" spans="1:11" x14ac:dyDescent="0.2">
      <c r="A11" s="18" t="s">
        <v>240</v>
      </c>
      <c r="B11" s="7">
        <v>467981</v>
      </c>
      <c r="C11" s="11">
        <f>1114628550190/Inputs!C12/1000</f>
        <v>755475.49829876632</v>
      </c>
      <c r="D11" s="58" t="s">
        <v>74</v>
      </c>
      <c r="E11" s="45" t="str">
        <f>HYPERLINK("https://www.emarketstorage.it/sites/default/files/comunicati/2025-04/20250430_166236.pdf", "Pirelli Annual Report 2024, p. 25")</f>
        <v>Pirelli Annual Report 2024, p. 25</v>
      </c>
      <c r="F11" s="25"/>
      <c r="G11" s="25"/>
      <c r="H11" t="s">
        <v>58</v>
      </c>
      <c r="I11" s="45" t="str">
        <f>HYPERLINK("https://www.hankooktire.com/wsvc/api/pdf-viewer/document.servlet?documentPath=/content/dam/hankooktire/global/pdf/audit/2024_HankookTire_Technology_Consolidated_Audit_Report.pdf", "Hankook Audit Report 2024, p. 9")</f>
        <v>Hankook Audit Report 2024, p. 9</v>
      </c>
      <c r="J11" s="25"/>
      <c r="K11" s="83"/>
    </row>
    <row r="12" spans="1:11" ht="16" thickBot="1" x14ac:dyDescent="0.25">
      <c r="A12" s="19" t="s">
        <v>241</v>
      </c>
      <c r="B12" s="14">
        <v>5756071</v>
      </c>
      <c r="C12" s="15">
        <f>11100370242882/Inputs!C12/1000</f>
        <v>7523634.4332940215</v>
      </c>
      <c r="D12" s="63" t="s">
        <v>74</v>
      </c>
      <c r="E12" s="86" t="str">
        <f>HYPERLINK("https://www.emarketstorage.it/sites/default/files/comunicati/2025-04/20250430_166236.pdf", "Pirelli Annual Report 2024, p. 26")</f>
        <v>Pirelli Annual Report 2024, p. 26</v>
      </c>
      <c r="F12" s="84"/>
      <c r="G12" s="84"/>
      <c r="H12" s="49" t="s">
        <v>58</v>
      </c>
      <c r="I12" s="86" t="str">
        <f>HYPERLINK("https://www.hankooktire.com/wsvc/api/pdf-viewer/document.servlet?documentPath=/content/dam/hankooktire/global/pdf/audit/2024_HankookTire_Technology_Consolidated_Audit_Report.pdf", "Hankook Audit Report 2024, p. 8")</f>
        <v>Hankook Audit Report 2024, p. 8</v>
      </c>
      <c r="J12" s="84"/>
      <c r="K12" s="85"/>
    </row>
    <row r="13" spans="1:11" ht="16" thickBot="1" x14ac:dyDescent="0.25"/>
    <row r="14" spans="1:11" ht="16" thickBot="1" x14ac:dyDescent="0.25">
      <c r="A14" s="24" t="s">
        <v>242</v>
      </c>
      <c r="B14" s="31" t="s">
        <v>3</v>
      </c>
      <c r="C14" s="32" t="s">
        <v>4</v>
      </c>
      <c r="D14" s="22" t="s">
        <v>5</v>
      </c>
      <c r="E14" s="448" t="s">
        <v>50</v>
      </c>
      <c r="F14" s="448"/>
      <c r="G14" s="448"/>
      <c r="H14" s="448"/>
      <c r="I14" s="448"/>
      <c r="J14" s="448"/>
      <c r="K14" s="449"/>
    </row>
    <row r="15" spans="1:11" x14ac:dyDescent="0.2">
      <c r="A15" s="18" t="s">
        <v>243</v>
      </c>
      <c r="B15" s="7">
        <f>B5*B10-Historical!D14+Historical!D15+Historical!D16</f>
        <v>6422725.4399999995</v>
      </c>
      <c r="C15" s="11">
        <f>C5*C10-Historical!G14+Historical!G15+Historical!G16</f>
        <v>10313577.986</v>
      </c>
      <c r="D15" s="58" t="s">
        <v>74</v>
      </c>
      <c r="E15" s="411" t="s">
        <v>244</v>
      </c>
      <c r="F15" s="411"/>
      <c r="G15" s="411"/>
      <c r="H15" s="411"/>
      <c r="I15" s="411"/>
      <c r="J15" s="411"/>
      <c r="K15" s="412"/>
    </row>
    <row r="16" spans="1:11" x14ac:dyDescent="0.2">
      <c r="A16" s="18" t="s">
        <v>245</v>
      </c>
      <c r="B16" s="7">
        <f>B6*B11</f>
        <v>5111850.0592</v>
      </c>
      <c r="C16" s="11">
        <f>C6*C11</f>
        <v>8252209.9630170837</v>
      </c>
      <c r="D16" s="58" t="s">
        <v>74</v>
      </c>
      <c r="E16" s="411" t="s">
        <v>246</v>
      </c>
      <c r="F16" s="411"/>
      <c r="G16" s="411"/>
      <c r="H16" s="411"/>
      <c r="I16" s="411"/>
      <c r="J16" s="411"/>
      <c r="K16" s="412"/>
    </row>
    <row r="17" spans="1:11" ht="16" thickBot="1" x14ac:dyDescent="0.25">
      <c r="A17" s="19" t="s">
        <v>247</v>
      </c>
      <c r="B17" s="14">
        <f>B7*B12</f>
        <v>6172234.9333000006</v>
      </c>
      <c r="C17" s="15">
        <f>C7*C12</f>
        <v>8067593.2028211793</v>
      </c>
      <c r="D17" s="63" t="s">
        <v>74</v>
      </c>
      <c r="E17" s="413" t="s">
        <v>248</v>
      </c>
      <c r="F17" s="413"/>
      <c r="G17" s="413"/>
      <c r="H17" s="413"/>
      <c r="I17" s="413"/>
      <c r="J17" s="413"/>
      <c r="K17" s="414"/>
    </row>
    <row r="18" spans="1:11" ht="16" thickBot="1" x14ac:dyDescent="0.25"/>
    <row r="19" spans="1:11" ht="16" thickBot="1" x14ac:dyDescent="0.25">
      <c r="A19" s="24" t="s">
        <v>249</v>
      </c>
      <c r="B19" s="31" t="s">
        <v>3</v>
      </c>
      <c r="C19" s="32" t="s">
        <v>4</v>
      </c>
      <c r="D19" s="22" t="s">
        <v>5</v>
      </c>
      <c r="E19" s="448" t="s">
        <v>50</v>
      </c>
      <c r="F19" s="448"/>
      <c r="G19" s="448"/>
      <c r="H19" s="448"/>
      <c r="I19" s="448"/>
      <c r="J19" s="448"/>
      <c r="K19" s="449"/>
    </row>
    <row r="20" spans="1:11" x14ac:dyDescent="0.2">
      <c r="A20" s="18" t="s">
        <v>18</v>
      </c>
      <c r="B20" s="38">
        <f>B15/1000/Inputs!B10</f>
        <v>6.4227254399999989</v>
      </c>
      <c r="C20" s="11">
        <f>C15*Inputs!C12/1000/Inputs!C10</f>
        <v>124738.16303823027</v>
      </c>
      <c r="D20" s="58" t="s">
        <v>12</v>
      </c>
      <c r="E20" s="411"/>
      <c r="F20" s="411"/>
      <c r="G20" s="411"/>
      <c r="H20" s="411"/>
      <c r="I20" s="411"/>
      <c r="J20" s="411"/>
      <c r="K20" s="412"/>
    </row>
    <row r="21" spans="1:11" x14ac:dyDescent="0.2">
      <c r="A21" s="18" t="s">
        <v>236</v>
      </c>
      <c r="B21" s="38">
        <f>B16/1000/Inputs!B10</f>
        <v>5.1118500592</v>
      </c>
      <c r="C21" s="11">
        <f>C16*Inputs!C12/1000/Inputs!C10</f>
        <v>99806.828744576196</v>
      </c>
      <c r="D21" s="58" t="s">
        <v>12</v>
      </c>
      <c r="E21" s="411"/>
      <c r="F21" s="411"/>
      <c r="G21" s="411"/>
      <c r="H21" s="411"/>
      <c r="I21" s="411"/>
      <c r="J21" s="411"/>
      <c r="K21" s="412"/>
    </row>
    <row r="22" spans="1:11" x14ac:dyDescent="0.2">
      <c r="A22" s="18" t="s">
        <v>237</v>
      </c>
      <c r="B22" s="38">
        <f>B17/1000/Inputs!B10</f>
        <v>6.1722349333000004</v>
      </c>
      <c r="C22" s="11">
        <f>C17*Inputs!C12/1000/Inputs!C10</f>
        <v>97573.970704023581</v>
      </c>
      <c r="D22" s="58" t="s">
        <v>12</v>
      </c>
      <c r="E22" s="411"/>
      <c r="F22" s="411"/>
      <c r="G22" s="411"/>
      <c r="H22" s="411"/>
      <c r="I22" s="411"/>
      <c r="J22" s="411"/>
      <c r="K22" s="412"/>
    </row>
    <row r="23" spans="1:11" x14ac:dyDescent="0.2">
      <c r="A23" s="351" t="s">
        <v>250</v>
      </c>
      <c r="B23" s="350">
        <f>AVERAGE(B20:B22)</f>
        <v>5.9022701441666667</v>
      </c>
      <c r="C23" s="314">
        <f>AVERAGE(C20:C22)</f>
        <v>107372.98749561002</v>
      </c>
      <c r="D23" s="352" t="s">
        <v>12</v>
      </c>
      <c r="E23" s="411" t="s">
        <v>251</v>
      </c>
      <c r="F23" s="411"/>
      <c r="G23" s="411"/>
      <c r="H23" s="411"/>
      <c r="I23" s="411"/>
      <c r="J23" s="411"/>
      <c r="K23" s="412"/>
    </row>
    <row r="24" spans="1:11" x14ac:dyDescent="0.2">
      <c r="A24" s="18" t="s">
        <v>252</v>
      </c>
      <c r="B24" s="38">
        <f>B12/1000/Inputs!B10</f>
        <v>5.7560709999999995</v>
      </c>
      <c r="C24" s="11">
        <f>C12*Inputs!C12/1000/Inputs!C10</f>
        <v>90995.030032662107</v>
      </c>
      <c r="D24" s="58" t="s">
        <v>12</v>
      </c>
      <c r="E24" s="411" t="s">
        <v>253</v>
      </c>
      <c r="F24" s="411"/>
      <c r="G24" s="411"/>
      <c r="H24" s="411"/>
      <c r="I24" s="411"/>
      <c r="J24" s="411"/>
      <c r="K24" s="412"/>
    </row>
    <row r="25" spans="1:11" x14ac:dyDescent="0.2">
      <c r="A25" s="18" t="s">
        <v>11</v>
      </c>
      <c r="B25" s="38">
        <f>DCF_Pirelli!B44</f>
        <v>9.2224953459536732</v>
      </c>
      <c r="C25" s="11">
        <f>DCF_Hankook!B44</f>
        <v>198911.87976425872</v>
      </c>
      <c r="D25" s="58" t="s">
        <v>12</v>
      </c>
      <c r="E25" s="411"/>
      <c r="F25" s="411"/>
      <c r="G25" s="411"/>
      <c r="H25" s="411"/>
      <c r="I25" s="411"/>
      <c r="J25" s="411"/>
      <c r="K25" s="412"/>
    </row>
    <row r="26" spans="1:11" ht="16" thickBot="1" x14ac:dyDescent="0.25">
      <c r="A26" s="19" t="s">
        <v>254</v>
      </c>
      <c r="B26" s="26">
        <f>Inputs!B11</f>
        <v>5.47</v>
      </c>
      <c r="C26" s="15">
        <f>Inputs!C11</f>
        <v>38400</v>
      </c>
      <c r="D26" s="63" t="s">
        <v>12</v>
      </c>
      <c r="E26" s="413"/>
      <c r="F26" s="413"/>
      <c r="G26" s="413"/>
      <c r="H26" s="413"/>
      <c r="I26" s="413"/>
      <c r="J26" s="413"/>
      <c r="K26" s="414"/>
    </row>
    <row r="27" spans="1:11" ht="16" thickBot="1" x14ac:dyDescent="0.25"/>
    <row r="28" spans="1:11" ht="16" thickBot="1" x14ac:dyDescent="0.25">
      <c r="A28" s="24" t="s">
        <v>255</v>
      </c>
      <c r="B28" s="31" t="s">
        <v>3</v>
      </c>
      <c r="C28" s="32" t="s">
        <v>4</v>
      </c>
      <c r="D28" s="22" t="s">
        <v>5</v>
      </c>
      <c r="E28" s="448" t="s">
        <v>256</v>
      </c>
      <c r="F28" s="448"/>
      <c r="G28" s="448"/>
      <c r="H28" s="448"/>
      <c r="I28" s="448"/>
      <c r="J28" s="448"/>
      <c r="K28" s="449"/>
    </row>
    <row r="29" spans="1:11" x14ac:dyDescent="0.2">
      <c r="A29" s="18" t="s">
        <v>257</v>
      </c>
      <c r="B29" s="38">
        <f>(Inputs!B18+Historical!D14-Historical!D15)/Multiples!B10</f>
        <v>5.1630979606749934</v>
      </c>
      <c r="C29" s="36">
        <f>(Inputs!C18+Historical!G14-Historical!G15)/C10</f>
        <v>1.9010747432046287</v>
      </c>
      <c r="D29" s="58" t="s">
        <v>20</v>
      </c>
      <c r="E29" s="411" t="s">
        <v>258</v>
      </c>
      <c r="F29" s="411"/>
      <c r="G29" s="411"/>
      <c r="H29" s="411"/>
      <c r="I29" s="411"/>
      <c r="J29" s="411"/>
      <c r="K29" s="412"/>
    </row>
    <row r="30" spans="1:11" x14ac:dyDescent="0.2">
      <c r="A30" s="18" t="s">
        <v>259</v>
      </c>
      <c r="B30" s="38">
        <f>(DCF_Pirelli!B37+Historical!D16)/B10</f>
        <v>7.7021018078904913</v>
      </c>
      <c r="C30" s="36">
        <f>(DCF_Hankook!B37+Historical!G16)/C10</f>
        <v>10.499273195018084</v>
      </c>
      <c r="D30" s="58" t="s">
        <v>20</v>
      </c>
      <c r="E30" s="411" t="s">
        <v>260</v>
      </c>
      <c r="F30" s="411"/>
      <c r="G30" s="411"/>
      <c r="H30" s="411"/>
      <c r="I30" s="411"/>
      <c r="J30" s="411"/>
      <c r="K30" s="412"/>
    </row>
    <row r="31" spans="1:11" x14ac:dyDescent="0.2">
      <c r="A31" s="18" t="s">
        <v>261</v>
      </c>
      <c r="B31" s="38">
        <f>Inputs!B18/B11</f>
        <v>11.688508721507924</v>
      </c>
      <c r="C31" s="36">
        <f>Inputs!C18/C11</f>
        <v>4.2026270674670059</v>
      </c>
      <c r="D31" s="58" t="s">
        <v>20</v>
      </c>
      <c r="E31" s="411"/>
      <c r="F31" s="411"/>
      <c r="G31" s="411"/>
      <c r="H31" s="411"/>
      <c r="I31" s="411"/>
      <c r="J31" s="411"/>
      <c r="K31" s="412"/>
    </row>
    <row r="32" spans="1:11" ht="16" thickBot="1" x14ac:dyDescent="0.25">
      <c r="A32" s="19" t="s">
        <v>262</v>
      </c>
      <c r="B32" s="26">
        <f>Inputs!B18/B12</f>
        <v>0.95030099524484668</v>
      </c>
      <c r="C32" s="28">
        <f>Inputs!C18/C12</f>
        <v>0.42200106957727856</v>
      </c>
      <c r="D32" s="63" t="s">
        <v>20</v>
      </c>
      <c r="E32" s="413"/>
      <c r="F32" s="413"/>
      <c r="G32" s="413"/>
      <c r="H32" s="413"/>
      <c r="I32" s="413"/>
      <c r="J32" s="413"/>
      <c r="K32" s="414"/>
    </row>
  </sheetData>
  <mergeCells count="25">
    <mergeCell ref="A1:B1"/>
    <mergeCell ref="A2:B2"/>
    <mergeCell ref="E31:K31"/>
    <mergeCell ref="E32:K32"/>
    <mergeCell ref="E24:K24"/>
    <mergeCell ref="E25:K25"/>
    <mergeCell ref="E28:K28"/>
    <mergeCell ref="E29:K29"/>
    <mergeCell ref="E30:K30"/>
    <mergeCell ref="E26:K26"/>
    <mergeCell ref="E4:K4"/>
    <mergeCell ref="E9:K9"/>
    <mergeCell ref="E14:K14"/>
    <mergeCell ref="E19:K19"/>
    <mergeCell ref="E5:K5"/>
    <mergeCell ref="E6:K6"/>
    <mergeCell ref="E22:K22"/>
    <mergeCell ref="E23:K23"/>
    <mergeCell ref="E20:K20"/>
    <mergeCell ref="E10:K10"/>
    <mergeCell ref="E7:K7"/>
    <mergeCell ref="E15:K15"/>
    <mergeCell ref="E16:K16"/>
    <mergeCell ref="E17:K17"/>
    <mergeCell ref="E21:K2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25CB06-7D06-E04E-BCF9-4AA0786C0312}">
  <dimension ref="A1:P32"/>
  <sheetViews>
    <sheetView zoomScale="156" workbookViewId="0"/>
  </sheetViews>
  <sheetFormatPr baseColWidth="10" defaultColWidth="11.5" defaultRowHeight="15" x14ac:dyDescent="0.2"/>
  <cols>
    <col min="1" max="1" width="40.83203125" customWidth="1"/>
    <col min="2" max="4" width="13.83203125" customWidth="1"/>
  </cols>
  <sheetData>
    <row r="1" spans="1:16" x14ac:dyDescent="0.2">
      <c r="A1" s="1" t="s">
        <v>263</v>
      </c>
    </row>
    <row r="2" spans="1:16" x14ac:dyDescent="0.2">
      <c r="A2" s="411" t="s">
        <v>264</v>
      </c>
      <c r="B2" s="411"/>
      <c r="C2" s="411"/>
      <c r="D2" s="411"/>
      <c r="E2" s="411"/>
    </row>
    <row r="3" spans="1:16" ht="16" thickBot="1" x14ac:dyDescent="0.25"/>
    <row r="4" spans="1:16" ht="16" thickBot="1" x14ac:dyDescent="0.25">
      <c r="A4" s="24" t="s">
        <v>265</v>
      </c>
      <c r="B4" s="279" t="s">
        <v>3</v>
      </c>
      <c r="C4" s="32" t="s">
        <v>4</v>
      </c>
      <c r="D4" s="121" t="s">
        <v>5</v>
      </c>
      <c r="E4" s="447" t="s">
        <v>50</v>
      </c>
      <c r="F4" s="448"/>
      <c r="G4" s="448"/>
      <c r="H4" s="448"/>
      <c r="I4" s="448"/>
      <c r="J4" s="448"/>
      <c r="K4" s="448"/>
      <c r="L4" s="448"/>
      <c r="M4" s="448"/>
      <c r="N4" s="448"/>
      <c r="O4" s="448"/>
      <c r="P4" s="449"/>
    </row>
    <row r="5" spans="1:16" x14ac:dyDescent="0.2">
      <c r="A5" s="18" t="s">
        <v>266</v>
      </c>
      <c r="B5" s="78">
        <v>13680622</v>
      </c>
      <c r="C5" s="11">
        <v>10742676</v>
      </c>
      <c r="D5" s="2" t="s">
        <v>74</v>
      </c>
      <c r="E5" s="420" t="str">
        <f>HYPERLINK("https://corp-assets.pirelli.com/corporate/AR_PIRELLI2024_CONSOLIDATED_FINANCIAL_STATEMENTS.pdf", "Pirelli: Consolidated FS 2024, Statement of financial position")</f>
        <v>Pirelli: Consolidated FS 2024, Statement of financial position</v>
      </c>
      <c r="F5" s="421"/>
      <c r="G5" s="421"/>
      <c r="H5" s="421"/>
      <c r="I5" s="421"/>
      <c r="J5" t="s">
        <v>58</v>
      </c>
      <c r="K5" s="421" t="str">
        <f>HYPERLINK("https://www.hankooktire.com/wsvc/api/pdf-viewer/document.servlet?documentPath=/content/dam/hankooktire/global/pdf/audit/2024_HankookTire_Technology_Consolidated_Audit_Report.pdf", "Hankook: Consolidated Audit Report 2024, pp. 7-8, converted at ₩1,475.40/€")</f>
        <v>Hankook: Consolidated Audit Report 2024, pp. 7-8, converted at ₩1,475.40/€</v>
      </c>
      <c r="L5" s="421"/>
      <c r="M5" s="421"/>
      <c r="N5" s="421"/>
      <c r="O5" s="421"/>
      <c r="P5" s="422"/>
    </row>
    <row r="6" spans="1:16" x14ac:dyDescent="0.2">
      <c r="A6" s="18" t="s">
        <v>267</v>
      </c>
      <c r="B6" s="78">
        <v>7768368</v>
      </c>
      <c r="C6" s="11">
        <v>3155003</v>
      </c>
      <c r="D6" s="2" t="s">
        <v>74</v>
      </c>
      <c r="E6" s="423" t="str">
        <f>HYPERLINK("https://corp-assets.pirelli.com/corporate/AR_PIRELLI2024_CONSOLIDATED_FINANCIAL_STATEMENTS.pdf", "Pirelli: Consolidated FS 2024, Statement of financial position")</f>
        <v>Pirelli: Consolidated FS 2024, Statement of financial position</v>
      </c>
      <c r="F6" s="424"/>
      <c r="G6" s="424"/>
      <c r="H6" s="424"/>
      <c r="I6" s="424"/>
      <c r="J6" t="s">
        <v>58</v>
      </c>
      <c r="K6" s="424" t="str">
        <f>HYPERLINK("https://www.hankooktire.com/wsvc/api/pdf-viewer/document.servlet?documentPath=/content/dam/hankooktire/global/pdf/audit/2024_HankookTire_Technology_Consolidated_Audit_Report.pdf", "Hankook: Consolidated Audit Report 2024, pp. 7-8, converted at ₩1,475.40/€")</f>
        <v>Hankook: Consolidated Audit Report 2024, pp. 7-8, converted at ₩1,475.40/€</v>
      </c>
      <c r="L6" s="424"/>
      <c r="M6" s="424"/>
      <c r="N6" s="424"/>
      <c r="O6" s="424"/>
      <c r="P6" s="425"/>
    </row>
    <row r="7" spans="1:16" x14ac:dyDescent="0.2">
      <c r="A7" s="18" t="s">
        <v>268</v>
      </c>
      <c r="B7" s="78">
        <v>156183</v>
      </c>
      <c r="C7" s="11">
        <v>64039</v>
      </c>
      <c r="D7" s="2" t="s">
        <v>74</v>
      </c>
      <c r="E7" s="423" t="str">
        <f>HYPERLINK("https://corp-assets.pirelli.com/corporate/AR_PIRELLI2024_CONSOLIDATED_FINANCIAL_STATEMENTS.pdf", "Pirelli: Consolidated FS 2024, Statement of financial position")</f>
        <v>Pirelli: Consolidated FS 2024, Statement of financial position</v>
      </c>
      <c r="F7" s="424"/>
      <c r="G7" s="424"/>
      <c r="H7" s="424"/>
      <c r="I7" s="424"/>
      <c r="J7" s="304" t="s">
        <v>58</v>
      </c>
      <c r="K7" s="424" t="str">
        <f>HYPERLINK("https://www.hankooktire.com/wsvc/api/pdf-viewer/document.servlet?documentPath=/content/dam/hankooktire/global/pdf/audit/2024_HankookTire_Technology_Consolidated_Audit_Report.pdf", "Hankook: Consolidated Audit Report 2024, pp. 7-8, converted at ₩1,475.40/€")</f>
        <v>Hankook: Consolidated Audit Report 2024, pp. 7-8, converted at ₩1,475.40/€</v>
      </c>
      <c r="L7" s="424"/>
      <c r="M7" s="424"/>
      <c r="N7" s="424"/>
      <c r="O7" s="424"/>
      <c r="P7" s="425"/>
    </row>
    <row r="8" spans="1:16" x14ac:dyDescent="0.2">
      <c r="A8" s="117" t="s">
        <v>269</v>
      </c>
      <c r="B8" s="357">
        <f>B5-B6-B7</f>
        <v>5756071</v>
      </c>
      <c r="C8" s="358">
        <f>C5-C6-C7</f>
        <v>7523634</v>
      </c>
      <c r="D8" s="360" t="s">
        <v>74</v>
      </c>
      <c r="E8" s="410" t="s">
        <v>270</v>
      </c>
      <c r="F8" s="411"/>
      <c r="G8" s="411"/>
      <c r="H8" s="411"/>
      <c r="I8" s="411"/>
      <c r="J8" s="411"/>
      <c r="K8" s="411"/>
      <c r="L8" s="411"/>
      <c r="M8" s="411"/>
      <c r="N8" s="411"/>
      <c r="O8" s="411"/>
      <c r="P8" s="412"/>
    </row>
    <row r="9" spans="1:16" ht="16" thickBot="1" x14ac:dyDescent="0.25">
      <c r="A9" s="354" t="s">
        <v>271</v>
      </c>
      <c r="B9" s="355">
        <f>B8-Multiples!B12</f>
        <v>0</v>
      </c>
      <c r="C9" s="356">
        <f>C8-Multiples!C12</f>
        <v>-0.43329402152448893</v>
      </c>
      <c r="D9" s="353" t="s">
        <v>74</v>
      </c>
      <c r="E9" s="415" t="s">
        <v>272</v>
      </c>
      <c r="F9" s="413"/>
      <c r="G9" s="413"/>
      <c r="H9" s="413"/>
      <c r="I9" s="413"/>
      <c r="J9" s="413"/>
      <c r="K9" s="413"/>
      <c r="L9" s="413"/>
      <c r="M9" s="413"/>
      <c r="N9" s="413"/>
      <c r="O9" s="413"/>
      <c r="P9" s="414"/>
    </row>
    <row r="10" spans="1:16" ht="16" thickBot="1" x14ac:dyDescent="0.25">
      <c r="B10" s="78"/>
      <c r="C10" s="78"/>
    </row>
    <row r="11" spans="1:16" ht="16" thickBot="1" x14ac:dyDescent="0.25">
      <c r="A11" s="24" t="s">
        <v>273</v>
      </c>
      <c r="B11" s="279" t="s">
        <v>3</v>
      </c>
      <c r="C11" s="32" t="s">
        <v>4</v>
      </c>
      <c r="D11" s="121" t="s">
        <v>5</v>
      </c>
      <c r="E11" s="447" t="s">
        <v>50</v>
      </c>
      <c r="F11" s="448"/>
      <c r="G11" s="448"/>
      <c r="H11" s="448"/>
      <c r="I11" s="448"/>
      <c r="J11" s="448"/>
      <c r="K11" s="448"/>
      <c r="L11" s="449"/>
    </row>
    <row r="12" spans="1:16" x14ac:dyDescent="0.2">
      <c r="A12" s="18" t="s">
        <v>274</v>
      </c>
      <c r="B12" s="79">
        <v>0</v>
      </c>
      <c r="C12" s="36">
        <f>(104031000+144963000)/1000000</f>
        <v>248.994</v>
      </c>
      <c r="D12" s="2" t="s">
        <v>61</v>
      </c>
      <c r="E12" s="420" t="str">
        <f>HYPERLINK("https://money2.daishin.com/PDF/Out/intranet_data/Product/ResearchCenter/Report/2024/10/51252_2024.10.02_HankookHanon_deal.pdf","Daishin Securities (02/10/2024): 104.0m held + 145.0m new shares subscribed 22/12/2024")</f>
        <v>Daishin Securities (02/10/2024): 104.0m held + 145.0m new shares subscribed 22/12/2024</v>
      </c>
      <c r="F12" s="421"/>
      <c r="G12" s="421"/>
      <c r="H12" s="421"/>
      <c r="I12" s="421"/>
      <c r="J12" s="421"/>
      <c r="K12" s="421"/>
      <c r="L12" s="422"/>
    </row>
    <row r="13" spans="1:16" x14ac:dyDescent="0.2">
      <c r="A13" s="18" t="s">
        <v>275</v>
      </c>
      <c r="B13" s="78">
        <v>0</v>
      </c>
      <c r="C13" s="11">
        <v>3890</v>
      </c>
      <c r="D13" s="2" t="s">
        <v>229</v>
      </c>
      <c r="E13" s="423" t="str">
        <f>HYPERLINK("https://core.asiae.co.kr/article/2025010908385262005","Asia Economy (09/01/2025): close ₩3,890 on 08/01/2025, proxy for 30/12/2024")</f>
        <v>Asia Economy (09/01/2025): close ₩3,890 on 08/01/2025, proxy for 30/12/2024</v>
      </c>
      <c r="F13" s="424"/>
      <c r="G13" s="424"/>
      <c r="H13" s="424"/>
      <c r="I13" s="424"/>
      <c r="J13" s="424"/>
      <c r="K13" s="424"/>
      <c r="L13" s="425"/>
    </row>
    <row r="14" spans="1:16" x14ac:dyDescent="0.2">
      <c r="A14" s="18" t="s">
        <v>276</v>
      </c>
      <c r="B14" s="78">
        <v>0</v>
      </c>
      <c r="C14" s="11">
        <f>C12*C13*1000/Inputs!C12</f>
        <v>656490.89060593734</v>
      </c>
      <c r="D14" s="2" t="s">
        <v>74</v>
      </c>
      <c r="E14" s="410" t="s">
        <v>277</v>
      </c>
      <c r="F14" s="411"/>
      <c r="G14" s="411"/>
      <c r="H14" s="411"/>
      <c r="I14" s="411"/>
      <c r="J14" s="411"/>
      <c r="K14" s="411"/>
      <c r="L14" s="412"/>
    </row>
    <row r="15" spans="1:16" x14ac:dyDescent="0.2">
      <c r="A15" s="18" t="s">
        <v>278</v>
      </c>
      <c r="B15" s="78">
        <v>0</v>
      </c>
      <c r="C15" s="11">
        <f>1719988000000/Inputs!C12/1000</f>
        <v>1165777.4162938865</v>
      </c>
      <c r="D15" s="2" t="s">
        <v>74</v>
      </c>
      <c r="E15" s="423" t="str">
        <f>HYPERLINK("https://www.hankooktire.com/wsvc/api/pdf-viewer/document.servlet?documentPath=/content/dam/hankooktire/global/pdf/audit/2024_HankookTire_Technology_Consolidated_Audit_Report.pdf","Hankook Audit Report 2024, note 17: ₩1,719,988m (36.68%, after ₩256bn impairment)")</f>
        <v>Hankook Audit Report 2024, note 17: ₩1,719,988m (36.68%, after ₩256bn impairment)</v>
      </c>
      <c r="F15" s="424"/>
      <c r="G15" s="424"/>
      <c r="H15" s="424"/>
      <c r="I15" s="424"/>
      <c r="J15" s="424"/>
      <c r="K15" s="424"/>
      <c r="L15" s="425"/>
    </row>
    <row r="16" spans="1:16" ht="16" x14ac:dyDescent="0.25">
      <c r="A16" s="287" t="s">
        <v>279</v>
      </c>
      <c r="B16" s="288">
        <f>B14-B15</f>
        <v>0</v>
      </c>
      <c r="C16" s="289">
        <f>C14-C15</f>
        <v>-509286.52568794915</v>
      </c>
      <c r="D16" s="359" t="s">
        <v>74</v>
      </c>
      <c r="E16" s="460" t="s">
        <v>280</v>
      </c>
      <c r="F16" s="461"/>
      <c r="G16" s="461"/>
      <c r="H16" s="461"/>
      <c r="I16" s="461"/>
      <c r="J16" s="461"/>
      <c r="K16" s="461"/>
      <c r="L16" s="462"/>
    </row>
    <row r="17" spans="1:13" ht="17" thickBot="1" x14ac:dyDescent="0.3">
      <c r="A17" s="19" t="s">
        <v>281</v>
      </c>
      <c r="B17" s="88">
        <v>0</v>
      </c>
      <c r="C17" s="15">
        <v>0</v>
      </c>
      <c r="D17" s="47" t="s">
        <v>74</v>
      </c>
      <c r="E17" s="457" t="s">
        <v>282</v>
      </c>
      <c r="F17" s="458"/>
      <c r="G17" s="458"/>
      <c r="H17" s="458"/>
      <c r="I17" s="458"/>
      <c r="J17" s="458"/>
      <c r="K17" s="458"/>
      <c r="L17" s="459"/>
    </row>
    <row r="18" spans="1:13" ht="16" thickBot="1" x14ac:dyDescent="0.25"/>
    <row r="19" spans="1:13" ht="16" thickBot="1" x14ac:dyDescent="0.25">
      <c r="A19" s="24" t="s">
        <v>283</v>
      </c>
      <c r="B19" s="279" t="s">
        <v>3</v>
      </c>
      <c r="C19" s="32" t="s">
        <v>4</v>
      </c>
      <c r="D19" s="121" t="s">
        <v>5</v>
      </c>
      <c r="E19" s="447" t="s">
        <v>50</v>
      </c>
      <c r="F19" s="448"/>
      <c r="G19" s="448"/>
      <c r="H19" s="448"/>
      <c r="I19" s="448"/>
      <c r="J19" s="448"/>
      <c r="K19" s="448"/>
      <c r="L19" s="449"/>
    </row>
    <row r="20" spans="1:13" x14ac:dyDescent="0.2">
      <c r="A20" s="18" t="s">
        <v>284</v>
      </c>
      <c r="B20" s="78">
        <f>B5+B16</f>
        <v>13680622</v>
      </c>
      <c r="C20" s="11">
        <f>C5+C16</f>
        <v>10233389.47431205</v>
      </c>
      <c r="D20" s="2" t="s">
        <v>74</v>
      </c>
      <c r="E20" s="420" t="s">
        <v>285</v>
      </c>
      <c r="F20" s="421"/>
      <c r="G20" s="421"/>
      <c r="H20" s="421"/>
      <c r="I20" s="421"/>
      <c r="J20" s="421"/>
      <c r="K20" s="421"/>
      <c r="L20" s="422"/>
    </row>
    <row r="21" spans="1:13" x14ac:dyDescent="0.2">
      <c r="A21" s="18" t="s">
        <v>286</v>
      </c>
      <c r="B21" s="78">
        <f>B6+B17</f>
        <v>7768368</v>
      </c>
      <c r="C21" s="11">
        <f>C6+C17</f>
        <v>3155003</v>
      </c>
      <c r="D21" s="2" t="s">
        <v>74</v>
      </c>
      <c r="E21" s="423" t="s">
        <v>287</v>
      </c>
      <c r="F21" s="424"/>
      <c r="G21" s="424"/>
      <c r="H21" s="424"/>
      <c r="I21" s="424"/>
      <c r="J21" s="424"/>
      <c r="K21" s="424"/>
      <c r="L21" s="425"/>
    </row>
    <row r="22" spans="1:13" x14ac:dyDescent="0.2">
      <c r="A22" s="117" t="s">
        <v>288</v>
      </c>
      <c r="B22" s="357">
        <f>B20-B21</f>
        <v>5912254</v>
      </c>
      <c r="C22" s="358">
        <f>C20-C21</f>
        <v>7078386.4743120503</v>
      </c>
      <c r="D22" s="360" t="s">
        <v>74</v>
      </c>
      <c r="E22" s="410" t="s">
        <v>289</v>
      </c>
      <c r="F22" s="411"/>
      <c r="G22" s="411"/>
      <c r="H22" s="411"/>
      <c r="I22" s="411"/>
      <c r="J22" s="411"/>
      <c r="K22" s="411"/>
      <c r="L22" s="412"/>
    </row>
    <row r="23" spans="1:13" x14ac:dyDescent="0.2">
      <c r="A23" s="18" t="s">
        <v>290</v>
      </c>
      <c r="B23" s="78">
        <f>-B7</f>
        <v>-156183</v>
      </c>
      <c r="C23" s="11">
        <f>-C7</f>
        <v>-64039</v>
      </c>
      <c r="D23" s="2" t="s">
        <v>74</v>
      </c>
      <c r="E23" s="423" t="s">
        <v>291</v>
      </c>
      <c r="F23" s="424"/>
      <c r="G23" s="424"/>
      <c r="H23" s="424"/>
      <c r="I23" s="424"/>
      <c r="J23" s="424"/>
      <c r="K23" s="424"/>
      <c r="L23" s="425"/>
    </row>
    <row r="24" spans="1:13" ht="17" thickBot="1" x14ac:dyDescent="0.3">
      <c r="A24" s="332" t="s">
        <v>292</v>
      </c>
      <c r="B24" s="395">
        <f>B22+B23</f>
        <v>5756071</v>
      </c>
      <c r="C24" s="396">
        <f>C22+C23</f>
        <v>7014347.4743120503</v>
      </c>
      <c r="D24" s="337" t="s">
        <v>74</v>
      </c>
      <c r="E24" s="457" t="s">
        <v>293</v>
      </c>
      <c r="F24" s="458"/>
      <c r="G24" s="458"/>
      <c r="H24" s="458"/>
      <c r="I24" s="458"/>
      <c r="J24" s="458"/>
      <c r="K24" s="458"/>
      <c r="L24" s="459"/>
    </row>
    <row r="25" spans="1:13" ht="16" thickBot="1" x14ac:dyDescent="0.25"/>
    <row r="26" spans="1:13" ht="16" thickBot="1" x14ac:dyDescent="0.25">
      <c r="A26" s="24" t="s">
        <v>294</v>
      </c>
      <c r="B26" s="279" t="s">
        <v>3</v>
      </c>
      <c r="C26" s="32" t="s">
        <v>4</v>
      </c>
      <c r="D26" s="121" t="s">
        <v>5</v>
      </c>
      <c r="E26" s="447" t="s">
        <v>50</v>
      </c>
      <c r="F26" s="448"/>
      <c r="G26" s="448"/>
      <c r="H26" s="448"/>
      <c r="I26" s="448"/>
      <c r="J26" s="448"/>
      <c r="K26" s="448"/>
      <c r="L26" s="448"/>
      <c r="M26" s="449"/>
    </row>
    <row r="27" spans="1:13" x14ac:dyDescent="0.2">
      <c r="A27" s="18" t="s">
        <v>295</v>
      </c>
      <c r="B27" s="79">
        <f>Inputs!B10</f>
        <v>1000</v>
      </c>
      <c r="C27" s="36">
        <f>Inputs!C10</f>
        <v>121.988753</v>
      </c>
      <c r="D27" s="2" t="s">
        <v>61</v>
      </c>
      <c r="E27" s="420" t="str">
        <f>HYPERLINK("https://corporate.pirelli.com/corporate/en-ww/investors/shareholder-information/share-capital-eng", "Pirelli: pirelli.com, Share Capital")</f>
        <v>Pirelli: pirelli.com, Share Capital</v>
      </c>
      <c r="F27" s="421"/>
      <c r="G27" s="421"/>
      <c r="H27" s="421"/>
      <c r="I27" s="2" t="s">
        <v>58</v>
      </c>
      <c r="J27" s="421" t="str">
        <f>HYPERLINK("https://www.hankooktire.com/global/ko/investors/shares-shareholders/distribution-shares.html", "Hankook: hankooktire.com, distribution of shares")</f>
        <v>Hankook: hankooktire.com, distribution of shares</v>
      </c>
      <c r="K27" s="421"/>
      <c r="L27" s="421"/>
      <c r="M27" s="422"/>
    </row>
    <row r="28" spans="1:13" x14ac:dyDescent="0.2">
      <c r="A28" s="18" t="s">
        <v>42</v>
      </c>
      <c r="B28" s="124">
        <f>B8/1000/B27</f>
        <v>5.7560709999999995</v>
      </c>
      <c r="C28" s="11">
        <f>C8*Inputs!C12/1000/C27</f>
        <v>90995.024792162614</v>
      </c>
      <c r="D28" s="2" t="s">
        <v>12</v>
      </c>
      <c r="E28" s="454"/>
      <c r="F28" s="455"/>
      <c r="G28" s="455"/>
      <c r="H28" s="455"/>
      <c r="I28" s="455"/>
      <c r="J28" s="455"/>
      <c r="K28" s="455"/>
      <c r="L28" s="455"/>
      <c r="M28" s="456"/>
    </row>
    <row r="29" spans="1:13" ht="16" x14ac:dyDescent="0.25">
      <c r="A29" s="351" t="s">
        <v>43</v>
      </c>
      <c r="B29" s="313">
        <f>B24/1000/B27</f>
        <v>5.7560709999999995</v>
      </c>
      <c r="C29" s="314">
        <f>C24*Inputs!C12/1000/C27</f>
        <v>84835.429571117929</v>
      </c>
      <c r="D29" s="361" t="s">
        <v>12</v>
      </c>
      <c r="E29" s="454"/>
      <c r="F29" s="455"/>
      <c r="G29" s="455"/>
      <c r="H29" s="455"/>
      <c r="I29" s="455"/>
      <c r="J29" s="455"/>
      <c r="K29" s="455"/>
      <c r="L29" s="455"/>
      <c r="M29" s="456"/>
    </row>
    <row r="30" spans="1:13" x14ac:dyDescent="0.2">
      <c r="A30" s="18" t="s">
        <v>16</v>
      </c>
      <c r="B30" s="124">
        <f>Inputs!B11</f>
        <v>5.47</v>
      </c>
      <c r="C30" s="11">
        <f>Inputs!C11</f>
        <v>38400</v>
      </c>
      <c r="D30" s="2" t="s">
        <v>12</v>
      </c>
      <c r="E30" s="423" t="str">
        <f>HYPERLINK("https://finance.yahoo.com/quote/PIRC.MI/history/","Yahoo Finance historical prices: PIRC.MI (30/12/2024)")</f>
        <v>Yahoo Finance historical prices: PIRC.MI (30/12/2024)</v>
      </c>
      <c r="F30" s="424"/>
      <c r="G30" s="424"/>
      <c r="H30" s="424"/>
      <c r="I30" s="2" t="s">
        <v>58</v>
      </c>
      <c r="J30" s="424" t="str">
        <f>HYPERLINK("https://finance.yahoo.com/quote/161390.KS/history/","Yahoo Finance historical prices: 161390.KS (30/12/2024)")</f>
        <v>Yahoo Finance historical prices: 161390.KS (30/12/2024)</v>
      </c>
      <c r="K30" s="424"/>
      <c r="L30" s="424"/>
      <c r="M30" s="425"/>
    </row>
    <row r="31" spans="1:13" x14ac:dyDescent="0.2">
      <c r="A31" s="18" t="s">
        <v>45</v>
      </c>
      <c r="B31" s="79">
        <f>B30/B29</f>
        <v>0.95030099524484679</v>
      </c>
      <c r="C31" s="36">
        <f>C30/C29</f>
        <v>0.45264107453842861</v>
      </c>
      <c r="D31" s="2" t="s">
        <v>20</v>
      </c>
      <c r="E31" s="454"/>
      <c r="F31" s="455"/>
      <c r="G31" s="455"/>
      <c r="H31" s="455"/>
      <c r="I31" s="455"/>
      <c r="J31" s="455"/>
      <c r="K31" s="455"/>
      <c r="L31" s="455"/>
      <c r="M31" s="456"/>
    </row>
    <row r="32" spans="1:13" ht="16" thickBot="1" x14ac:dyDescent="0.25">
      <c r="A32" s="305" t="s">
        <v>47</v>
      </c>
      <c r="B32" s="306">
        <f>B29/B28-1</f>
        <v>0</v>
      </c>
      <c r="C32" s="307">
        <f>C29/C28-1</f>
        <v>-6.7691560446447752E-2</v>
      </c>
      <c r="D32" s="353" t="s">
        <v>7</v>
      </c>
      <c r="E32" s="451"/>
      <c r="F32" s="452"/>
      <c r="G32" s="452"/>
      <c r="H32" s="452"/>
      <c r="I32" s="452"/>
      <c r="J32" s="452"/>
      <c r="K32" s="452"/>
      <c r="L32" s="452"/>
      <c r="M32" s="453"/>
    </row>
  </sheetData>
  <mergeCells count="32">
    <mergeCell ref="A2:E2"/>
    <mergeCell ref="E26:M26"/>
    <mergeCell ref="E28:M28"/>
    <mergeCell ref="E29:M29"/>
    <mergeCell ref="E31:M31"/>
    <mergeCell ref="E24:L24"/>
    <mergeCell ref="E12:L12"/>
    <mergeCell ref="E13:L13"/>
    <mergeCell ref="E14:L14"/>
    <mergeCell ref="E15:L15"/>
    <mergeCell ref="E16:L16"/>
    <mergeCell ref="E17:L17"/>
    <mergeCell ref="E19:L19"/>
    <mergeCell ref="E20:L20"/>
    <mergeCell ref="E21:L21"/>
    <mergeCell ref="E22:L22"/>
    <mergeCell ref="E32:M32"/>
    <mergeCell ref="E30:H30"/>
    <mergeCell ref="J30:M30"/>
    <mergeCell ref="E27:H27"/>
    <mergeCell ref="J27:M27"/>
    <mergeCell ref="E23:L23"/>
    <mergeCell ref="E4:P4"/>
    <mergeCell ref="E11:L11"/>
    <mergeCell ref="E8:P8"/>
    <mergeCell ref="E9:P9"/>
    <mergeCell ref="E5:I5"/>
    <mergeCell ref="E6:I6"/>
    <mergeCell ref="E7:I7"/>
    <mergeCell ref="K5:P5"/>
    <mergeCell ref="K6:P6"/>
    <mergeCell ref="K7:P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07FC12-0804-9A4B-B87C-49959A71E4BA}">
  <sheetPr>
    <tabColor theme="9" tint="0.59999389629810485"/>
  </sheetPr>
  <dimension ref="A1:E57"/>
  <sheetViews>
    <sheetView zoomScale="150" workbookViewId="0">
      <selection sqref="A1:B1"/>
    </sheetView>
  </sheetViews>
  <sheetFormatPr baseColWidth="10" defaultColWidth="11.5" defaultRowHeight="15" x14ac:dyDescent="0.2"/>
  <cols>
    <col min="1" max="1" width="40.83203125" customWidth="1"/>
    <col min="2" max="4" width="15.83203125" customWidth="1"/>
    <col min="5" max="5" width="45.83203125" customWidth="1"/>
    <col min="6" max="6" width="15.83203125" customWidth="1"/>
  </cols>
  <sheetData>
    <row r="1" spans="1:5" x14ac:dyDescent="0.2">
      <c r="A1" s="463" t="s">
        <v>296</v>
      </c>
      <c r="B1" s="463"/>
    </row>
    <row r="2" spans="1:5" x14ac:dyDescent="0.2">
      <c r="A2" s="419" t="s">
        <v>234</v>
      </c>
      <c r="B2" s="419"/>
    </row>
    <row r="3" spans="1:5" ht="16" thickBot="1" x14ac:dyDescent="0.25"/>
    <row r="4" spans="1:5" ht="16" thickBot="1" x14ac:dyDescent="0.25">
      <c r="A4" s="131" t="s">
        <v>297</v>
      </c>
      <c r="B4" s="232" t="s">
        <v>3</v>
      </c>
      <c r="C4" s="233" t="s">
        <v>4</v>
      </c>
      <c r="D4" s="133" t="s">
        <v>5</v>
      </c>
      <c r="E4" s="134" t="s">
        <v>298</v>
      </c>
    </row>
    <row r="5" spans="1:5" x14ac:dyDescent="0.2">
      <c r="A5" s="234" t="s">
        <v>129</v>
      </c>
      <c r="B5" s="239">
        <f>Inputs!B4</f>
        <v>2.3599999999999999E-2</v>
      </c>
      <c r="C5" s="239">
        <f>Inputs!C4</f>
        <v>2.3599999999999999E-2</v>
      </c>
      <c r="D5" s="235" t="s">
        <v>7</v>
      </c>
      <c r="E5" s="225"/>
    </row>
    <row r="6" spans="1:5" x14ac:dyDescent="0.2">
      <c r="A6" s="135" t="s">
        <v>299</v>
      </c>
      <c r="B6" s="240">
        <f>Inputs!B21</f>
        <v>7.2632000000000002E-2</v>
      </c>
      <c r="C6" s="240">
        <f>Inputs!C21</f>
        <v>4.9888000000000002E-2</v>
      </c>
      <c r="D6" s="136" t="s">
        <v>7</v>
      </c>
      <c r="E6" s="39"/>
    </row>
    <row r="7" spans="1:5" x14ac:dyDescent="0.2">
      <c r="A7" s="135" t="s">
        <v>73</v>
      </c>
      <c r="B7" s="243">
        <f>Inputs!B18</f>
        <v>5470000</v>
      </c>
      <c r="C7" s="243">
        <f>Inputs!C18</f>
        <v>3174981.7779585193</v>
      </c>
      <c r="D7" s="136" t="s">
        <v>74</v>
      </c>
      <c r="E7" s="39"/>
    </row>
    <row r="8" spans="1:5" x14ac:dyDescent="0.2">
      <c r="A8" s="135" t="s">
        <v>300</v>
      </c>
      <c r="B8" s="243">
        <f>Historical!D14</f>
        <v>3829455</v>
      </c>
      <c r="C8" s="243">
        <f>Historical!G14</f>
        <v>1532646</v>
      </c>
      <c r="D8" s="136" t="s">
        <v>74</v>
      </c>
      <c r="E8" s="39"/>
    </row>
    <row r="9" spans="1:5" ht="16" thickBot="1" x14ac:dyDescent="0.25">
      <c r="A9" s="141" t="s">
        <v>301</v>
      </c>
      <c r="B9" s="253">
        <f>Historical!D15</f>
        <v>1668706</v>
      </c>
      <c r="C9" s="253">
        <f>Historical!G15</f>
        <v>1773298</v>
      </c>
      <c r="D9" s="142" t="s">
        <v>74</v>
      </c>
      <c r="E9" s="40"/>
    </row>
    <row r="10" spans="1:5" ht="16" thickBot="1" x14ac:dyDescent="0.25"/>
    <row r="11" spans="1:5" ht="16" thickBot="1" x14ac:dyDescent="0.25">
      <c r="A11" s="131" t="s">
        <v>2</v>
      </c>
      <c r="B11" s="232" t="s">
        <v>3</v>
      </c>
      <c r="C11" s="233" t="s">
        <v>4</v>
      </c>
      <c r="D11" s="133" t="s">
        <v>5</v>
      </c>
      <c r="E11" s="134" t="s">
        <v>298</v>
      </c>
    </row>
    <row r="12" spans="1:5" x14ac:dyDescent="0.2">
      <c r="A12" s="234" t="s">
        <v>554</v>
      </c>
      <c r="B12" s="254">
        <f>WACC!B11</f>
        <v>1.1754950639932928</v>
      </c>
      <c r="C12" s="254">
        <f>WACC!C11</f>
        <v>1.0270703544981008</v>
      </c>
      <c r="D12" s="235" t="s">
        <v>34</v>
      </c>
      <c r="E12" s="225"/>
    </row>
    <row r="13" spans="1:5" x14ac:dyDescent="0.2">
      <c r="A13" s="135" t="s">
        <v>555</v>
      </c>
      <c r="B13" s="240">
        <f>WACC!B14</f>
        <v>0.10897855748796084</v>
      </c>
      <c r="C13" s="240">
        <f>WACC!C14</f>
        <v>7.4838485845201252E-2</v>
      </c>
      <c r="D13" s="136" t="s">
        <v>7</v>
      </c>
      <c r="E13" s="39"/>
    </row>
    <row r="14" spans="1:5" x14ac:dyDescent="0.2">
      <c r="A14" s="135" t="s">
        <v>556</v>
      </c>
      <c r="B14" s="240">
        <f>WACC!B19</f>
        <v>2.9087360000000003E-2</v>
      </c>
      <c r="C14" s="240">
        <f>WACC!C19</f>
        <v>2.5585719999999999E-2</v>
      </c>
      <c r="D14" s="136" t="s">
        <v>7</v>
      </c>
      <c r="E14" s="39"/>
    </row>
    <row r="15" spans="1:5" x14ac:dyDescent="0.2">
      <c r="A15" s="135" t="s">
        <v>557</v>
      </c>
      <c r="B15" s="255">
        <f>WACC!B22</f>
        <v>0.58820651317738515</v>
      </c>
      <c r="C15" s="255">
        <f>WACC!C22</f>
        <v>0.67443347853966529</v>
      </c>
      <c r="D15" s="136" t="s">
        <v>7</v>
      </c>
      <c r="E15" s="39"/>
    </row>
    <row r="16" spans="1:5" x14ac:dyDescent="0.2">
      <c r="A16" s="135" t="s">
        <v>558</v>
      </c>
      <c r="B16" s="255">
        <f>WACC!B23</f>
        <v>0.41179348682261485</v>
      </c>
      <c r="C16" s="255">
        <f>WACC!C23</f>
        <v>0.32556652146033466</v>
      </c>
      <c r="D16" s="136" t="s">
        <v>7</v>
      </c>
      <c r="E16" s="39"/>
    </row>
    <row r="17" spans="1:5" x14ac:dyDescent="0.2">
      <c r="A17" s="153" t="s">
        <v>8</v>
      </c>
      <c r="B17" s="256">
        <f>WACC!B24</f>
        <v>7.6079882707959318E-2</v>
      </c>
      <c r="C17" s="256">
        <f>WACC!C24</f>
        <v>5.8803434196678696E-2</v>
      </c>
      <c r="D17" s="136" t="s">
        <v>7</v>
      </c>
      <c r="E17" s="137" t="s">
        <v>302</v>
      </c>
    </row>
    <row r="18" spans="1:5" x14ac:dyDescent="0.2">
      <c r="A18" s="135" t="s">
        <v>303</v>
      </c>
      <c r="B18" s="240">
        <f>WACC!B38</f>
        <v>7.6847811999068649E-2</v>
      </c>
      <c r="C18" s="240">
        <f>WACC!C38</f>
        <v>5.9268195752711542E-2</v>
      </c>
      <c r="D18" s="136" t="s">
        <v>7</v>
      </c>
      <c r="E18" s="137" t="s">
        <v>304</v>
      </c>
    </row>
    <row r="19" spans="1:5" ht="16" thickBot="1" x14ac:dyDescent="0.25">
      <c r="A19" s="141" t="s">
        <v>305</v>
      </c>
      <c r="B19" s="257">
        <f>WACC!B26</f>
        <v>8.14E-2</v>
      </c>
      <c r="C19" s="257"/>
      <c r="D19" s="142" t="s">
        <v>7</v>
      </c>
      <c r="E19" s="143" t="s">
        <v>306</v>
      </c>
    </row>
    <row r="20" spans="1:5" ht="16" thickBot="1" x14ac:dyDescent="0.25"/>
    <row r="21" spans="1:5" ht="16" thickBot="1" x14ac:dyDescent="0.25">
      <c r="A21" s="131" t="s">
        <v>307</v>
      </c>
      <c r="B21" s="232" t="s">
        <v>3</v>
      </c>
      <c r="C21" s="233" t="s">
        <v>4</v>
      </c>
      <c r="D21" s="133" t="s">
        <v>5</v>
      </c>
      <c r="E21" s="134" t="s">
        <v>298</v>
      </c>
    </row>
    <row r="22" spans="1:5" x14ac:dyDescent="0.2">
      <c r="A22" s="234" t="s">
        <v>308</v>
      </c>
      <c r="B22" s="258">
        <f>Historical!D6</f>
        <v>6773324</v>
      </c>
      <c r="C22" s="258">
        <f>Historical!G6</f>
        <v>6379252</v>
      </c>
      <c r="D22" s="235" t="s">
        <v>74</v>
      </c>
      <c r="E22" s="225"/>
    </row>
    <row r="23" spans="1:5" x14ac:dyDescent="0.2">
      <c r="A23" s="135" t="s">
        <v>561</v>
      </c>
      <c r="B23" s="240">
        <f>Historical!D22</f>
        <v>0.13331563645855418</v>
      </c>
      <c r="C23" s="240">
        <f>Historical!G22</f>
        <v>0.18723652867138654</v>
      </c>
      <c r="D23" s="136" t="s">
        <v>7</v>
      </c>
      <c r="E23" s="39"/>
    </row>
    <row r="24" spans="1:5" x14ac:dyDescent="0.2">
      <c r="A24" s="135" t="s">
        <v>196</v>
      </c>
      <c r="B24" s="240">
        <f>DCF_Pirelli!B31</f>
        <v>8.7843857301105999E-2</v>
      </c>
      <c r="C24" s="240">
        <f>DCF_Hankook!B31</f>
        <v>0.14044544332340955</v>
      </c>
      <c r="D24" s="136" t="s">
        <v>7</v>
      </c>
      <c r="E24" s="137" t="s">
        <v>309</v>
      </c>
    </row>
    <row r="25" spans="1:5" x14ac:dyDescent="0.2">
      <c r="A25" s="153" t="s">
        <v>207</v>
      </c>
      <c r="B25" s="393">
        <f>DCF_Pirelli!B37</f>
        <v>11262454.345953673</v>
      </c>
      <c r="C25" s="393">
        <f>DCF_Hankook!B37</f>
        <v>14970961.668515557</v>
      </c>
      <c r="D25" s="136" t="s">
        <v>74</v>
      </c>
      <c r="E25" s="39"/>
    </row>
    <row r="26" spans="1:5" x14ac:dyDescent="0.2">
      <c r="A26" s="135" t="s">
        <v>562</v>
      </c>
      <c r="B26" s="255">
        <f>DCF_Pirelli!B38</f>
        <v>0.70003882883310964</v>
      </c>
      <c r="C26" s="255">
        <f>DCF_Hankook!B38</f>
        <v>0.84201123697866709</v>
      </c>
      <c r="D26" s="136" t="s">
        <v>7</v>
      </c>
      <c r="E26" s="39"/>
    </row>
    <row r="27" spans="1:5" x14ac:dyDescent="0.2">
      <c r="A27" s="153" t="s">
        <v>213</v>
      </c>
      <c r="B27" s="393">
        <f>DCF_Pirelli!B42</f>
        <v>9222495.3459536731</v>
      </c>
      <c r="C27" s="393">
        <f>DCF_Hankook!B42</f>
        <v>16446395.668515557</v>
      </c>
      <c r="D27" s="136" t="s">
        <v>74</v>
      </c>
      <c r="E27" s="39"/>
    </row>
    <row r="28" spans="1:5" x14ac:dyDescent="0.2">
      <c r="A28" s="153" t="s">
        <v>249</v>
      </c>
      <c r="B28" s="259">
        <f>DCF_Pirelli!B44</f>
        <v>9.2224953459536732</v>
      </c>
      <c r="C28" s="260">
        <f>DCF_Hankook!B44</f>
        <v>198911.87976425872</v>
      </c>
      <c r="D28" s="136" t="s">
        <v>12</v>
      </c>
      <c r="E28" s="39"/>
    </row>
    <row r="29" spans="1:5" x14ac:dyDescent="0.2">
      <c r="A29" s="135" t="s">
        <v>559</v>
      </c>
      <c r="B29" s="242">
        <f>DCF_Pirelli!B45</f>
        <v>5.47</v>
      </c>
      <c r="C29" s="243">
        <f>DCF_Hankook!B45</f>
        <v>38400</v>
      </c>
      <c r="D29" s="136" t="s">
        <v>12</v>
      </c>
      <c r="E29" s="39"/>
    </row>
    <row r="30" spans="1:5" x14ac:dyDescent="0.2">
      <c r="A30" s="135" t="s">
        <v>220</v>
      </c>
      <c r="B30" s="255">
        <f>DCF_Pirelli!B46</f>
        <v>0.68601377439738087</v>
      </c>
      <c r="C30" s="255">
        <f>DCF_Hankook!B46</f>
        <v>4.1799968688609042</v>
      </c>
      <c r="D30" s="136" t="s">
        <v>7</v>
      </c>
      <c r="E30" s="39"/>
    </row>
    <row r="31" spans="1:5" x14ac:dyDescent="0.2">
      <c r="A31" s="135" t="s">
        <v>310</v>
      </c>
      <c r="B31" s="242">
        <f>MIN(DCF_Pirelli!B51:D55)</f>
        <v>7.5971626189800388</v>
      </c>
      <c r="C31" s="243">
        <f>MIN(DCF_Hankook!B51:D55)</f>
        <v>154362.87159576631</v>
      </c>
      <c r="D31" s="136" t="s">
        <v>12</v>
      </c>
      <c r="E31" s="137" t="s">
        <v>311</v>
      </c>
    </row>
    <row r="32" spans="1:5" ht="16" thickBot="1" x14ac:dyDescent="0.25">
      <c r="A32" s="141" t="s">
        <v>312</v>
      </c>
      <c r="B32" s="261">
        <f>MAX(DCF_Pirelli!B51:D55)</f>
        <v>11.926346012086531</v>
      </c>
      <c r="C32" s="253">
        <f>MAX(DCF_Hankook!B51:D55)</f>
        <v>298321.26395644079</v>
      </c>
      <c r="D32" s="142" t="s">
        <v>12</v>
      </c>
      <c r="E32" s="143" t="s">
        <v>311</v>
      </c>
    </row>
    <row r="33" spans="1:5" ht="16" thickBot="1" x14ac:dyDescent="0.25"/>
    <row r="34" spans="1:5" ht="16" thickBot="1" x14ac:dyDescent="0.25">
      <c r="A34" s="131" t="s">
        <v>313</v>
      </c>
      <c r="B34" s="232" t="s">
        <v>3</v>
      </c>
      <c r="C34" s="233" t="s">
        <v>4</v>
      </c>
      <c r="D34" s="133" t="s">
        <v>5</v>
      </c>
      <c r="E34" s="134" t="s">
        <v>298</v>
      </c>
    </row>
    <row r="35" spans="1:5" x14ac:dyDescent="0.2">
      <c r="A35" s="234" t="s">
        <v>314</v>
      </c>
      <c r="B35" s="254">
        <f>Multiples!B20</f>
        <v>6.4227254399999989</v>
      </c>
      <c r="C35" s="258">
        <f>Multiples!C20</f>
        <v>124738.16303823027</v>
      </c>
      <c r="D35" s="235" t="s">
        <v>12</v>
      </c>
      <c r="E35" s="225"/>
    </row>
    <row r="36" spans="1:5" x14ac:dyDescent="0.2">
      <c r="A36" s="135" t="s">
        <v>315</v>
      </c>
      <c r="B36" s="242">
        <f>Multiples!B21</f>
        <v>5.1118500592</v>
      </c>
      <c r="C36" s="243">
        <f>Multiples!C21</f>
        <v>99806.828744576196</v>
      </c>
      <c r="D36" s="136" t="s">
        <v>12</v>
      </c>
      <c r="E36" s="39"/>
    </row>
    <row r="37" spans="1:5" x14ac:dyDescent="0.2">
      <c r="A37" s="135" t="s">
        <v>316</v>
      </c>
      <c r="B37" s="242">
        <f>Multiples!B22</f>
        <v>6.1722349333000004</v>
      </c>
      <c r="C37" s="243">
        <f>Multiples!C22</f>
        <v>97573.970704023581</v>
      </c>
      <c r="D37" s="136" t="s">
        <v>12</v>
      </c>
      <c r="E37" s="39"/>
    </row>
    <row r="38" spans="1:5" x14ac:dyDescent="0.2">
      <c r="A38" s="153" t="s">
        <v>250</v>
      </c>
      <c r="B38" s="259">
        <f>Multiples!B23</f>
        <v>5.9022701441666667</v>
      </c>
      <c r="C38" s="260">
        <f>Multiples!C23</f>
        <v>107372.98749561002</v>
      </c>
      <c r="D38" s="136" t="s">
        <v>12</v>
      </c>
      <c r="E38" s="39"/>
    </row>
    <row r="39" spans="1:5" x14ac:dyDescent="0.2">
      <c r="A39" s="135" t="s">
        <v>252</v>
      </c>
      <c r="B39" s="242">
        <f>Multiples!B24</f>
        <v>5.7560709999999995</v>
      </c>
      <c r="C39" s="243">
        <f>Multiples!C24</f>
        <v>90995.030032662107</v>
      </c>
      <c r="D39" s="136" t="s">
        <v>12</v>
      </c>
      <c r="E39" s="39"/>
    </row>
    <row r="40" spans="1:5" x14ac:dyDescent="0.2">
      <c r="A40" s="135" t="s">
        <v>11</v>
      </c>
      <c r="B40" s="242">
        <f>Multiples!B25</f>
        <v>9.2224953459536732</v>
      </c>
      <c r="C40" s="243">
        <f>Multiples!C25</f>
        <v>198911.87976425872</v>
      </c>
      <c r="D40" s="136" t="s">
        <v>12</v>
      </c>
      <c r="E40" s="39"/>
    </row>
    <row r="41" spans="1:5" ht="16" thickBot="1" x14ac:dyDescent="0.25">
      <c r="A41" s="141" t="s">
        <v>254</v>
      </c>
      <c r="B41" s="261">
        <f>Multiples!B26</f>
        <v>5.47</v>
      </c>
      <c r="C41" s="253">
        <f>Multiples!C26</f>
        <v>38400</v>
      </c>
      <c r="D41" s="142" t="s">
        <v>12</v>
      </c>
      <c r="E41" s="40"/>
    </row>
    <row r="42" spans="1:5" ht="16" thickBot="1" x14ac:dyDescent="0.25"/>
    <row r="43" spans="1:5" ht="16" thickBot="1" x14ac:dyDescent="0.25">
      <c r="A43" s="131" t="s">
        <v>317</v>
      </c>
      <c r="B43" s="232" t="s">
        <v>3</v>
      </c>
      <c r="C43" s="233" t="s">
        <v>4</v>
      </c>
      <c r="D43" s="133" t="s">
        <v>5</v>
      </c>
      <c r="E43" s="134" t="s">
        <v>298</v>
      </c>
    </row>
    <row r="44" spans="1:5" x14ac:dyDescent="0.2">
      <c r="A44" s="234" t="s">
        <v>318</v>
      </c>
      <c r="B44" s="247">
        <f>Multiples!B5</f>
        <v>5.726</v>
      </c>
      <c r="C44" s="247">
        <f>Multiples!C5</f>
        <v>5.726</v>
      </c>
      <c r="D44" s="235" t="s">
        <v>20</v>
      </c>
      <c r="E44" s="236" t="s">
        <v>319</v>
      </c>
    </row>
    <row r="45" spans="1:5" x14ac:dyDescent="0.2">
      <c r="A45" s="135" t="s">
        <v>320</v>
      </c>
      <c r="B45" s="248">
        <f>Multiples!B29</f>
        <v>5.1630979606749934</v>
      </c>
      <c r="C45" s="248">
        <f>Multiples!C29</f>
        <v>1.9010747432046287</v>
      </c>
      <c r="D45" s="136" t="s">
        <v>20</v>
      </c>
      <c r="E45" s="39"/>
    </row>
    <row r="46" spans="1:5" x14ac:dyDescent="0.2">
      <c r="A46" s="135" t="s">
        <v>259</v>
      </c>
      <c r="B46" s="248">
        <f>Multiples!B30</f>
        <v>7.7021018078904913</v>
      </c>
      <c r="C46" s="248">
        <f>Multiples!C30</f>
        <v>10.499273195018084</v>
      </c>
      <c r="D46" s="136" t="s">
        <v>20</v>
      </c>
      <c r="E46" s="39"/>
    </row>
    <row r="47" spans="1:5" x14ac:dyDescent="0.2">
      <c r="A47" s="135" t="s">
        <v>563</v>
      </c>
      <c r="B47" s="248">
        <f>Multiples!B6</f>
        <v>10.9232</v>
      </c>
      <c r="C47" s="248">
        <f>Multiples!C6</f>
        <v>10.9232</v>
      </c>
      <c r="D47" s="136" t="s">
        <v>20</v>
      </c>
      <c r="E47" s="39"/>
    </row>
    <row r="48" spans="1:5" x14ac:dyDescent="0.2">
      <c r="A48" s="135" t="s">
        <v>261</v>
      </c>
      <c r="B48" s="248">
        <f>Multiples!B31</f>
        <v>11.688508721507924</v>
      </c>
      <c r="C48" s="248">
        <f>Multiples!C31</f>
        <v>4.2026270674670059</v>
      </c>
      <c r="D48" s="136" t="s">
        <v>20</v>
      </c>
      <c r="E48" s="39"/>
    </row>
    <row r="49" spans="1:5" x14ac:dyDescent="0.2">
      <c r="A49" s="135" t="s">
        <v>564</v>
      </c>
      <c r="B49" s="248">
        <f>Multiples!B7</f>
        <v>1.0723</v>
      </c>
      <c r="C49" s="248">
        <f>Multiples!C7</f>
        <v>1.0723</v>
      </c>
      <c r="D49" s="136" t="s">
        <v>20</v>
      </c>
      <c r="E49" s="39"/>
    </row>
    <row r="50" spans="1:5" ht="16" thickBot="1" x14ac:dyDescent="0.25">
      <c r="A50" s="141" t="s">
        <v>262</v>
      </c>
      <c r="B50" s="249">
        <f>Multiples!B32</f>
        <v>0.95030099524484668</v>
      </c>
      <c r="C50" s="249">
        <f>Multiples!C32</f>
        <v>0.42200106957727856</v>
      </c>
      <c r="D50" s="142" t="s">
        <v>20</v>
      </c>
      <c r="E50" s="40"/>
    </row>
    <row r="51" spans="1:5" ht="16" thickBot="1" x14ac:dyDescent="0.25"/>
    <row r="52" spans="1:5" ht="16" thickBot="1" x14ac:dyDescent="0.25">
      <c r="A52" s="303" t="s">
        <v>263</v>
      </c>
      <c r="B52" s="279" t="s">
        <v>3</v>
      </c>
      <c r="C52" s="302" t="s">
        <v>4</v>
      </c>
      <c r="D52" s="121" t="s">
        <v>5</v>
      </c>
      <c r="E52" s="301" t="s">
        <v>298</v>
      </c>
    </row>
    <row r="53" spans="1:5" x14ac:dyDescent="0.2">
      <c r="A53" s="292" t="s">
        <v>269</v>
      </c>
      <c r="B53" s="394">
        <f>NAV!B8</f>
        <v>5756071</v>
      </c>
      <c r="C53" s="394">
        <f>NAV!C8</f>
        <v>7523634</v>
      </c>
      <c r="D53" s="136" t="s">
        <v>74</v>
      </c>
      <c r="E53" s="39"/>
    </row>
    <row r="54" spans="1:5" x14ac:dyDescent="0.2">
      <c r="A54" s="281" t="s">
        <v>321</v>
      </c>
      <c r="B54" s="290">
        <f>NAV!B16</f>
        <v>0</v>
      </c>
      <c r="C54" s="290">
        <f>NAV!C16</f>
        <v>-509286.52568794915</v>
      </c>
      <c r="D54" s="136" t="s">
        <v>74</v>
      </c>
      <c r="E54" s="39"/>
    </row>
    <row r="55" spans="1:5" x14ac:dyDescent="0.2">
      <c r="A55" s="292" t="s">
        <v>292</v>
      </c>
      <c r="B55" s="308">
        <f>NAV!B24</f>
        <v>5756071</v>
      </c>
      <c r="C55" s="308">
        <f>NAV!C24</f>
        <v>7014347.4743120503</v>
      </c>
      <c r="D55" s="136" t="s">
        <v>74</v>
      </c>
      <c r="E55" s="39"/>
    </row>
    <row r="56" spans="1:5" x14ac:dyDescent="0.2">
      <c r="A56" s="292" t="s">
        <v>43</v>
      </c>
      <c r="B56" s="294">
        <f>NAV!B29</f>
        <v>5.7560709999999995</v>
      </c>
      <c r="C56" s="308">
        <f>NAV!C29</f>
        <v>84835.429571117929</v>
      </c>
      <c r="D56" s="136" t="s">
        <v>12</v>
      </c>
      <c r="E56" s="39"/>
    </row>
    <row r="57" spans="1:5" ht="16" thickBot="1" x14ac:dyDescent="0.25">
      <c r="A57" s="282" t="s">
        <v>45</v>
      </c>
      <c r="B57" s="312">
        <f>NAV!B31</f>
        <v>0.95030099524484679</v>
      </c>
      <c r="C57" s="312">
        <f>NAV!C31</f>
        <v>0.45264107453842861</v>
      </c>
      <c r="D57" s="47" t="s">
        <v>20</v>
      </c>
      <c r="E57" s="40"/>
    </row>
  </sheetData>
  <mergeCells count="2">
    <mergeCell ref="A1:B1"/>
    <mergeCell ref="A2:B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FDF337-A76A-9A4B-B748-F042A5F8C3CA}">
  <dimension ref="A1:K47"/>
  <sheetViews>
    <sheetView zoomScale="140" workbookViewId="0"/>
  </sheetViews>
  <sheetFormatPr baseColWidth="10" defaultColWidth="11.5" defaultRowHeight="15" x14ac:dyDescent="0.2"/>
  <cols>
    <col min="1" max="1" width="40.83203125" customWidth="1"/>
    <col min="2" max="3" width="30.83203125" customWidth="1"/>
    <col min="4" max="4" width="15.83203125" customWidth="1"/>
    <col min="5" max="5" width="100.83203125" customWidth="1"/>
    <col min="6" max="6" width="40.83203125" customWidth="1"/>
    <col min="7" max="7" width="30.83203125" customWidth="1"/>
  </cols>
  <sheetData>
    <row r="1" spans="1:11" x14ac:dyDescent="0.2">
      <c r="A1" s="129" t="s">
        <v>322</v>
      </c>
    </row>
    <row r="2" spans="1:11" x14ac:dyDescent="0.2">
      <c r="A2" s="419" t="s">
        <v>323</v>
      </c>
      <c r="B2" s="419"/>
      <c r="J2" s="138"/>
      <c r="K2" s="138"/>
    </row>
    <row r="3" spans="1:11" ht="16" thickBot="1" x14ac:dyDescent="0.25"/>
    <row r="4" spans="1:11" ht="16" thickBot="1" x14ac:dyDescent="0.25">
      <c r="A4" s="131" t="s">
        <v>324</v>
      </c>
      <c r="B4" s="175" t="s">
        <v>3</v>
      </c>
      <c r="C4" s="170" t="s">
        <v>4</v>
      </c>
      <c r="D4" s="186" t="s">
        <v>5</v>
      </c>
      <c r="E4" s="131" t="s">
        <v>50</v>
      </c>
      <c r="F4" s="195" t="s">
        <v>325</v>
      </c>
      <c r="G4" s="192" t="s">
        <v>326</v>
      </c>
    </row>
    <row r="5" spans="1:11" x14ac:dyDescent="0.2">
      <c r="A5" s="135" t="s">
        <v>24</v>
      </c>
      <c r="B5" s="135" t="s">
        <v>327</v>
      </c>
      <c r="C5" s="181" t="s">
        <v>328</v>
      </c>
      <c r="D5" s="187" t="s">
        <v>25</v>
      </c>
      <c r="E5" s="193" t="s">
        <v>329</v>
      </c>
      <c r="F5" s="196" t="str">
        <f>HYPERLINK("https://www.itiger.com/news/2669912181", "Pirelli press release, Sep 2026")</f>
        <v>Pirelli press release, Sep 2026</v>
      </c>
      <c r="G5" s="173" t="str">
        <f>HYPERLINK("https://www.hankooktire.com/global/en/company/media-list/media-detail.627000.html", "Hankook press release, Aug 2022")</f>
        <v>Hankook press release, Aug 2022</v>
      </c>
    </row>
    <row r="6" spans="1:11" x14ac:dyDescent="0.2">
      <c r="A6" s="135" t="s">
        <v>330</v>
      </c>
      <c r="B6" s="176">
        <v>1200</v>
      </c>
      <c r="C6" s="182">
        <v>1600</v>
      </c>
      <c r="D6" s="187" t="s">
        <v>27</v>
      </c>
      <c r="E6" s="193" t="s">
        <v>331</v>
      </c>
      <c r="F6" s="196" t="str">
        <f>HYPERLINK("https://www.itiger.com/news/2669912181", "Pirelli press release, Sep 2026")</f>
        <v>Pirelli press release, Sep 2026</v>
      </c>
      <c r="G6" s="173" t="str">
        <f>HYPERLINK("https://www.hankooktire.com/global/en/company/media-list/media-detail.627000.html", "Hankook press release, Aug 2022")</f>
        <v>Hankook press release, Aug 2022</v>
      </c>
    </row>
    <row r="7" spans="1:11" x14ac:dyDescent="0.2">
      <c r="A7" s="135" t="s">
        <v>332</v>
      </c>
      <c r="B7" s="177">
        <v>2027</v>
      </c>
      <c r="C7" s="183">
        <v>2023</v>
      </c>
      <c r="D7" s="187" t="s">
        <v>333</v>
      </c>
      <c r="E7" s="193" t="s">
        <v>334</v>
      </c>
      <c r="F7" s="196" t="str">
        <f>HYPERLINK("https://www.itiger.com/news/2669912181", "Pirelli press release, Sep 2026")</f>
        <v>Pirelli press release, Sep 2026</v>
      </c>
      <c r="G7" s="173" t="str">
        <f>HYPERLINK("https://www.hankooktire.com/global/en/company/media-list/media-detail.627000.html", "Hankook press release, Aug 2022")</f>
        <v>Hankook press release, Aug 2022</v>
      </c>
    </row>
    <row r="8" spans="1:11" x14ac:dyDescent="0.2">
      <c r="A8" s="135" t="s">
        <v>335</v>
      </c>
      <c r="B8" s="178">
        <v>0.45</v>
      </c>
      <c r="C8" s="184">
        <v>5.5</v>
      </c>
      <c r="D8" s="187" t="s">
        <v>336</v>
      </c>
      <c r="E8" s="193" t="s">
        <v>337</v>
      </c>
      <c r="F8" s="196" t="str">
        <f>HYPERLINK("https://constructionreviewonline.com/1-2b-pirelli-rome-tire-plant-expansion-approved-in-georgia/", "City of Rome figures (Construction Review Online)")</f>
        <v>City of Rome figures (Construction Review Online)</v>
      </c>
      <c r="G8" s="173" t="str">
        <f>HYPERLINK("https://www.hankooktire.com/global/en/company/media-list/media-detail.627000.html", "Hankook press release, Aug 2022")</f>
        <v>Hankook press release, Aug 2022</v>
      </c>
    </row>
    <row r="9" spans="1:11" x14ac:dyDescent="0.2">
      <c r="A9" s="135" t="s">
        <v>338</v>
      </c>
      <c r="B9" s="178">
        <v>6</v>
      </c>
      <c r="C9" s="184">
        <v>12</v>
      </c>
      <c r="D9" s="187" t="s">
        <v>336</v>
      </c>
      <c r="E9" s="193" t="s">
        <v>339</v>
      </c>
      <c r="F9" s="196" t="str">
        <f>HYPERLINK("https://www.itiger.com/news/2669912181", "Pirelli press release, Sep 2026")</f>
        <v>Pirelli press release, Sep 2026</v>
      </c>
      <c r="G9" s="173" t="str">
        <f>HYPERLINK("https://www.hankooktire.com/global/en/company/media-list/media-detail.627000.html", "Hankook press release, Aug 2022")</f>
        <v>Hankook press release, Aug 2022</v>
      </c>
    </row>
    <row r="10" spans="1:11" x14ac:dyDescent="0.2">
      <c r="A10" s="135" t="s">
        <v>340</v>
      </c>
      <c r="B10" s="178">
        <f>B9-B8-B11</f>
        <v>5.55</v>
      </c>
      <c r="C10" s="184">
        <f>C9-C8-C11</f>
        <v>5.5</v>
      </c>
      <c r="D10" s="187" t="s">
        <v>336</v>
      </c>
      <c r="E10" s="193" t="s">
        <v>341</v>
      </c>
      <c r="F10" s="196"/>
      <c r="G10" s="39"/>
    </row>
    <row r="11" spans="1:11" x14ac:dyDescent="0.2">
      <c r="A11" s="135" t="s">
        <v>342</v>
      </c>
      <c r="B11" s="178">
        <v>0</v>
      </c>
      <c r="C11" s="184">
        <v>1</v>
      </c>
      <c r="D11" s="187" t="s">
        <v>336</v>
      </c>
      <c r="E11" s="193" t="s">
        <v>343</v>
      </c>
      <c r="F11" s="27"/>
      <c r="G11" s="173" t="str">
        <f>HYPERLINK("https://www.hankooktire.com/global/en/company/media-list/media-detail.627000.html", "Hankook press release, Aug 2022")</f>
        <v>Hankook press release, Aug 2022</v>
      </c>
    </row>
    <row r="12" spans="1:11" x14ac:dyDescent="0.2">
      <c r="A12" s="135" t="s">
        <v>344</v>
      </c>
      <c r="B12" s="177">
        <v>2034</v>
      </c>
      <c r="C12" s="183">
        <v>2026</v>
      </c>
      <c r="D12" s="187" t="s">
        <v>333</v>
      </c>
      <c r="E12" s="193" t="s">
        <v>345</v>
      </c>
      <c r="F12" s="196" t="str">
        <f>HYPERLINK("https://www.itiger.com/news/2669912181", "Pirelli press release, Sep 2026")</f>
        <v>Pirelli press release, Sep 2026</v>
      </c>
      <c r="G12" s="173" t="str">
        <f>HYPERLINK("https://www.hankooktire.com/global/en/company/media-list/media-detail.627000.html", "Hankook press release, Aug 2022")</f>
        <v>Hankook press release, Aug 2022</v>
      </c>
    </row>
    <row r="13" spans="1:11" ht="16" thickBot="1" x14ac:dyDescent="0.25">
      <c r="A13" s="141" t="s">
        <v>346</v>
      </c>
      <c r="B13" s="179">
        <f>B6/(B10+B11)</f>
        <v>216.21621621621622</v>
      </c>
      <c r="C13" s="185">
        <f>C6/(C10+C11)</f>
        <v>246.15384615384616</v>
      </c>
      <c r="D13" s="188" t="s">
        <v>347</v>
      </c>
      <c r="E13" s="194" t="s">
        <v>348</v>
      </c>
      <c r="F13" s="197"/>
      <c r="G13" s="40"/>
    </row>
    <row r="14" spans="1:11" ht="16" thickBot="1" x14ac:dyDescent="0.25"/>
    <row r="15" spans="1:11" ht="16" thickBot="1" x14ac:dyDescent="0.25">
      <c r="A15" s="189" t="s">
        <v>349</v>
      </c>
      <c r="B15" s="203" t="s">
        <v>3</v>
      </c>
      <c r="C15" s="170" t="s">
        <v>4</v>
      </c>
      <c r="D15" s="133" t="s">
        <v>5</v>
      </c>
      <c r="E15" s="131" t="s">
        <v>50</v>
      </c>
      <c r="F15" s="195" t="s">
        <v>325</v>
      </c>
      <c r="G15" s="192" t="s">
        <v>326</v>
      </c>
    </row>
    <row r="16" spans="1:11" x14ac:dyDescent="0.2">
      <c r="A16" s="174" t="s">
        <v>350</v>
      </c>
      <c r="B16" s="204">
        <v>165</v>
      </c>
      <c r="C16" s="209">
        <v>95</v>
      </c>
      <c r="D16" s="136" t="s">
        <v>347</v>
      </c>
      <c r="E16" s="193" t="s">
        <v>351</v>
      </c>
      <c r="F16" s="196"/>
      <c r="G16" s="173"/>
    </row>
    <row r="17" spans="1:7" x14ac:dyDescent="0.2">
      <c r="A17" s="174" t="s">
        <v>352</v>
      </c>
      <c r="B17" s="204">
        <v>0</v>
      </c>
      <c r="C17" s="209">
        <v>300</v>
      </c>
      <c r="D17" s="136" t="s">
        <v>347</v>
      </c>
      <c r="E17" s="193" t="s">
        <v>353</v>
      </c>
      <c r="F17" s="196"/>
      <c r="G17" s="173"/>
    </row>
    <row r="18" spans="1:7" x14ac:dyDescent="0.2">
      <c r="A18" s="174" t="s">
        <v>354</v>
      </c>
      <c r="B18" s="205">
        <v>2026</v>
      </c>
      <c r="C18" s="210">
        <v>2025</v>
      </c>
      <c r="D18" s="136" t="s">
        <v>333</v>
      </c>
      <c r="E18" s="193" t="s">
        <v>355</v>
      </c>
      <c r="F18" s="196"/>
      <c r="G18" s="173"/>
    </row>
    <row r="19" spans="1:7" x14ac:dyDescent="0.2">
      <c r="A19" s="174" t="s">
        <v>356</v>
      </c>
      <c r="B19" s="206">
        <f>Inputs!B14</f>
        <v>0.02</v>
      </c>
      <c r="C19" s="211">
        <f>Inputs!C14</f>
        <v>0.02</v>
      </c>
      <c r="D19" s="136" t="s">
        <v>7</v>
      </c>
      <c r="E19" s="193" t="s">
        <v>357</v>
      </c>
      <c r="F19" s="196"/>
      <c r="G19" s="173"/>
    </row>
    <row r="20" spans="1:7" x14ac:dyDescent="0.2">
      <c r="A20" s="174" t="s">
        <v>358</v>
      </c>
      <c r="B20" s="207">
        <v>0.9</v>
      </c>
      <c r="C20" s="212">
        <v>0.9</v>
      </c>
      <c r="D20" s="136" t="s">
        <v>7</v>
      </c>
      <c r="E20" s="193" t="s">
        <v>359</v>
      </c>
      <c r="F20" s="196" t="str">
        <f>HYPERLINK("https://corp-assets.pirelli.com/corporate/Annual_Report_Pirelli_2024_ENG.pdf", "Pirelli Annual Report 2024, p. 16")</f>
        <v>Pirelli Annual Report 2024, p. 16</v>
      </c>
      <c r="G20" s="173"/>
    </row>
    <row r="21" spans="1:7" x14ac:dyDescent="0.2">
      <c r="A21" s="174" t="s">
        <v>360</v>
      </c>
      <c r="B21" s="206">
        <f>AVERAGE((Historical!B7+Historical!B8)/Historical!B6,(Historical!C7+Historical!C8)/Historical!C6,(Historical!D7+Historical!D8)/Historical!D6)</f>
        <v>0.21117867213500693</v>
      </c>
      <c r="C21" s="211">
        <f>AVERAGE((Historical!E7+Historical!E8)/Historical!E6,(Historical!F7+Historical!F8)/Historical!F6,(Historical!G7+Historical!G8)/Historical!G6)</f>
        <v>0.19833533724500396</v>
      </c>
      <c r="D21" s="136" t="s">
        <v>7</v>
      </c>
      <c r="E21" s="193" t="s">
        <v>361</v>
      </c>
      <c r="F21" s="196"/>
      <c r="G21" s="39"/>
    </row>
    <row r="22" spans="1:7" x14ac:dyDescent="0.2">
      <c r="A22" s="174" t="s">
        <v>362</v>
      </c>
      <c r="B22" s="207">
        <v>0.02</v>
      </c>
      <c r="C22" s="212">
        <v>0.02</v>
      </c>
      <c r="D22" s="136" t="s">
        <v>363</v>
      </c>
      <c r="E22" s="193" t="s">
        <v>364</v>
      </c>
      <c r="F22" s="27"/>
      <c r="G22" s="173"/>
    </row>
    <row r="23" spans="1:7" x14ac:dyDescent="0.2">
      <c r="A23" s="174" t="s">
        <v>365</v>
      </c>
      <c r="B23" s="205">
        <v>15</v>
      </c>
      <c r="C23" s="210">
        <v>15</v>
      </c>
      <c r="D23" s="136" t="s">
        <v>366</v>
      </c>
      <c r="E23" s="193" t="s">
        <v>367</v>
      </c>
      <c r="F23" s="196"/>
      <c r="G23" s="173"/>
    </row>
    <row r="24" spans="1:7" x14ac:dyDescent="0.2">
      <c r="A24" s="174" t="s">
        <v>138</v>
      </c>
      <c r="B24" s="206">
        <f>Inputs!B24</f>
        <v>0.22639999999999999</v>
      </c>
      <c r="C24" s="211">
        <f>Inputs!C24</f>
        <v>0.28129999999999999</v>
      </c>
      <c r="D24" s="136" t="s">
        <v>7</v>
      </c>
      <c r="E24" s="193" t="s">
        <v>368</v>
      </c>
      <c r="F24" s="27"/>
      <c r="G24" s="39"/>
    </row>
    <row r="25" spans="1:7" x14ac:dyDescent="0.2">
      <c r="A25" s="174" t="s">
        <v>112</v>
      </c>
      <c r="B25" s="206">
        <f>Historical!D25</f>
        <v>1.3294801784175688E-3</v>
      </c>
      <c r="C25" s="211">
        <f>Historical!G25</f>
        <v>0.31456713106803119</v>
      </c>
      <c r="D25" s="136" t="s">
        <v>7</v>
      </c>
      <c r="E25" s="193" t="s">
        <v>369</v>
      </c>
      <c r="F25" s="200"/>
      <c r="G25" s="201"/>
    </row>
    <row r="26" spans="1:7" x14ac:dyDescent="0.2">
      <c r="A26" s="174" t="s">
        <v>370</v>
      </c>
      <c r="B26" s="206">
        <f>WACC!B24</f>
        <v>7.6079882707959318E-2</v>
      </c>
      <c r="C26" s="211">
        <f>WACC!C24</f>
        <v>5.8803434196678696E-2</v>
      </c>
      <c r="D26" s="136" t="s">
        <v>7</v>
      </c>
      <c r="E26" s="193" t="s">
        <v>371</v>
      </c>
      <c r="F26" s="196"/>
      <c r="G26" s="173"/>
    </row>
    <row r="27" spans="1:7" x14ac:dyDescent="0.2">
      <c r="A27" s="174" t="s">
        <v>372</v>
      </c>
      <c r="B27" s="205">
        <v>25</v>
      </c>
      <c r="C27" s="210">
        <v>25</v>
      </c>
      <c r="D27" s="136" t="s">
        <v>366</v>
      </c>
      <c r="E27" s="193" t="s">
        <v>373</v>
      </c>
      <c r="F27" s="196"/>
      <c r="G27" s="173"/>
    </row>
    <row r="28" spans="1:7" ht="16" thickBot="1" x14ac:dyDescent="0.25">
      <c r="A28" s="202" t="s">
        <v>374</v>
      </c>
      <c r="B28" s="208">
        <v>1.0824</v>
      </c>
      <c r="C28" s="213">
        <f>B28</f>
        <v>1.0824</v>
      </c>
      <c r="D28" s="142" t="s">
        <v>375</v>
      </c>
      <c r="E28" s="194" t="s">
        <v>376</v>
      </c>
      <c r="F28" s="198" t="str">
        <f>HYPERLINK("https://www.bundesbank.de/resource/blob/810486/a6f85aac3ac47b07ea32eae66e4bfa82/mL/ii-euro-referenzkurse-der-ezb-data.pdf", "ECB reference rates, 2024 average (Bundesbank)")</f>
        <v>ECB reference rates, 2024 average (Bundesbank)</v>
      </c>
      <c r="G28" s="199"/>
    </row>
    <row r="29" spans="1:7" ht="16" thickBot="1" x14ac:dyDescent="0.25"/>
    <row r="30" spans="1:7" ht="16" thickBot="1" x14ac:dyDescent="0.25">
      <c r="A30" s="189" t="s">
        <v>377</v>
      </c>
      <c r="B30" s="133" t="s">
        <v>378</v>
      </c>
      <c r="C30" s="159"/>
      <c r="D30" s="133" t="s">
        <v>5</v>
      </c>
      <c r="E30" s="131" t="s">
        <v>50</v>
      </c>
      <c r="F30" s="195" t="s">
        <v>325</v>
      </c>
      <c r="G30" s="192" t="s">
        <v>326</v>
      </c>
    </row>
    <row r="31" spans="1:7" x14ac:dyDescent="0.2">
      <c r="A31" s="174" t="s">
        <v>379</v>
      </c>
      <c r="B31" s="139">
        <v>11033</v>
      </c>
      <c r="C31" s="27"/>
      <c r="D31" s="136" t="s">
        <v>27</v>
      </c>
      <c r="E31" s="193" t="s">
        <v>380</v>
      </c>
      <c r="F31" s="196" t="str">
        <f>HYPERLINK("https://www.sec.gov/Archives/edgar/data/42582/000119312525026120/d897621dex991.htm", "Goodyear FY2024 results")</f>
        <v>Goodyear FY2024 results</v>
      </c>
      <c r="G31" s="39"/>
    </row>
    <row r="32" spans="1:7" x14ac:dyDescent="0.2">
      <c r="A32" s="174" t="s">
        <v>381</v>
      </c>
      <c r="B32" s="144">
        <v>81.599999999999994</v>
      </c>
      <c r="C32" s="27"/>
      <c r="D32" s="136" t="s">
        <v>382</v>
      </c>
      <c r="E32" s="193" t="s">
        <v>383</v>
      </c>
      <c r="F32" s="196" t="str">
        <f>HYPERLINK("https://www.sec.gov/Archives/edgar/data/42582/000119312525026120/d897621dex991.htm", "Goodyear FY2024 results")</f>
        <v>Goodyear FY2024 results</v>
      </c>
      <c r="G32" s="39"/>
    </row>
    <row r="33" spans="1:7" x14ac:dyDescent="0.2">
      <c r="A33" s="174" t="s">
        <v>384</v>
      </c>
      <c r="B33" s="145">
        <f>B31/B32</f>
        <v>135.20833333333334</v>
      </c>
      <c r="C33" s="27"/>
      <c r="D33" s="136" t="s">
        <v>347</v>
      </c>
      <c r="E33" s="193" t="s">
        <v>385</v>
      </c>
      <c r="F33" s="27"/>
      <c r="G33" s="39"/>
    </row>
    <row r="34" spans="1:7" x14ac:dyDescent="0.2">
      <c r="A34" s="174" t="s">
        <v>386</v>
      </c>
      <c r="B34" s="146">
        <f>B16/B33-1</f>
        <v>0.22033898305084731</v>
      </c>
      <c r="C34" s="27"/>
      <c r="D34" s="136" t="s">
        <v>7</v>
      </c>
      <c r="E34" s="193" t="s">
        <v>387</v>
      </c>
      <c r="F34" s="27"/>
      <c r="G34" s="39"/>
    </row>
    <row r="35" spans="1:7" ht="16" thickBot="1" x14ac:dyDescent="0.25">
      <c r="A35" s="202" t="s">
        <v>388</v>
      </c>
      <c r="B35" s="147">
        <f>C16/B33-1</f>
        <v>-0.29738058551617874</v>
      </c>
      <c r="C35" s="197"/>
      <c r="D35" s="142" t="s">
        <v>7</v>
      </c>
      <c r="E35" s="194" t="s">
        <v>389</v>
      </c>
      <c r="F35" s="197"/>
      <c r="G35" s="40"/>
    </row>
    <row r="36" spans="1:7" ht="16" thickBot="1" x14ac:dyDescent="0.25"/>
    <row r="37" spans="1:7" ht="16" thickBot="1" x14ac:dyDescent="0.25">
      <c r="A37" s="189" t="s">
        <v>390</v>
      </c>
      <c r="B37" s="133" t="s">
        <v>391</v>
      </c>
      <c r="C37" s="159" t="s">
        <v>392</v>
      </c>
      <c r="D37" s="186" t="s">
        <v>393</v>
      </c>
      <c r="E37" s="189" t="s">
        <v>298</v>
      </c>
      <c r="F37" s="1"/>
      <c r="G37" s="1"/>
    </row>
    <row r="38" spans="1:7" x14ac:dyDescent="0.2">
      <c r="A38" s="174" t="s">
        <v>394</v>
      </c>
      <c r="B38" s="148">
        <v>-0.1</v>
      </c>
      <c r="C38" s="216">
        <v>0</v>
      </c>
      <c r="D38" s="214">
        <v>0.05</v>
      </c>
      <c r="E38" s="190" t="s">
        <v>395</v>
      </c>
    </row>
    <row r="39" spans="1:7" x14ac:dyDescent="0.2">
      <c r="A39" s="174" t="s">
        <v>396</v>
      </c>
      <c r="B39" s="148">
        <v>-0.1</v>
      </c>
      <c r="C39" s="216">
        <v>0</v>
      </c>
      <c r="D39" s="214">
        <v>0.05</v>
      </c>
      <c r="E39" s="190" t="s">
        <v>397</v>
      </c>
    </row>
    <row r="40" spans="1:7" x14ac:dyDescent="0.2">
      <c r="A40" s="174" t="s">
        <v>398</v>
      </c>
      <c r="B40" s="148">
        <v>-0.03</v>
      </c>
      <c r="C40" s="216">
        <v>0</v>
      </c>
      <c r="D40" s="214">
        <v>0.03</v>
      </c>
      <c r="E40" s="190" t="s">
        <v>399</v>
      </c>
    </row>
    <row r="41" spans="1:7" ht="16" thickBot="1" x14ac:dyDescent="0.25">
      <c r="A41" s="202" t="s">
        <v>400</v>
      </c>
      <c r="B41" s="149">
        <v>0.15</v>
      </c>
      <c r="C41" s="217">
        <v>0</v>
      </c>
      <c r="D41" s="215">
        <v>0</v>
      </c>
      <c r="E41" s="191" t="s">
        <v>401</v>
      </c>
    </row>
    <row r="42" spans="1:7" ht="16" thickBot="1" x14ac:dyDescent="0.25"/>
    <row r="43" spans="1:7" ht="16" thickBot="1" x14ac:dyDescent="0.25">
      <c r="A43" s="189" t="s">
        <v>402</v>
      </c>
      <c r="B43" s="218" t="s">
        <v>403</v>
      </c>
      <c r="C43" s="133" t="s">
        <v>404</v>
      </c>
      <c r="D43" s="159" t="s">
        <v>5</v>
      </c>
      <c r="E43" s="134" t="s">
        <v>298</v>
      </c>
    </row>
    <row r="44" spans="1:7" x14ac:dyDescent="0.2">
      <c r="A44" s="174" t="s">
        <v>394</v>
      </c>
      <c r="B44" s="219">
        <v>-0.1</v>
      </c>
      <c r="C44" s="148">
        <v>0.1</v>
      </c>
      <c r="D44" s="160" t="s">
        <v>7</v>
      </c>
      <c r="E44" s="137" t="s">
        <v>405</v>
      </c>
    </row>
    <row r="45" spans="1:7" x14ac:dyDescent="0.2">
      <c r="A45" s="174" t="s">
        <v>398</v>
      </c>
      <c r="B45" s="219">
        <v>-0.04</v>
      </c>
      <c r="C45" s="148">
        <v>0.04</v>
      </c>
      <c r="D45" s="160" t="s">
        <v>406</v>
      </c>
      <c r="E45" s="137" t="s">
        <v>405</v>
      </c>
    </row>
    <row r="46" spans="1:7" x14ac:dyDescent="0.2">
      <c r="A46" s="174" t="s">
        <v>396</v>
      </c>
      <c r="B46" s="219">
        <v>-0.15</v>
      </c>
      <c r="C46" s="148">
        <v>0.05</v>
      </c>
      <c r="D46" s="160" t="s">
        <v>406</v>
      </c>
      <c r="E46" s="137" t="s">
        <v>407</v>
      </c>
    </row>
    <row r="47" spans="1:7" ht="16" thickBot="1" x14ac:dyDescent="0.25">
      <c r="A47" s="202" t="s">
        <v>400</v>
      </c>
      <c r="B47" s="220">
        <v>-0.05</v>
      </c>
      <c r="C47" s="149">
        <v>0.2</v>
      </c>
      <c r="D47" s="161" t="s">
        <v>7</v>
      </c>
      <c r="E47" s="143" t="s">
        <v>407</v>
      </c>
    </row>
  </sheetData>
  <mergeCells count="1">
    <mergeCell ref="A2:B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F24BFF-E845-4F4A-964D-680B05882091}">
  <dimension ref="A1:AG59"/>
  <sheetViews>
    <sheetView topLeftCell="A9" zoomScale="113" workbookViewId="0">
      <selection sqref="A1:C1"/>
    </sheetView>
  </sheetViews>
  <sheetFormatPr baseColWidth="10" defaultColWidth="11.5" defaultRowHeight="15" x14ac:dyDescent="0.2"/>
  <cols>
    <col min="1" max="1" width="35.83203125" customWidth="1"/>
  </cols>
  <sheetData>
    <row r="1" spans="1:33" x14ac:dyDescent="0.2">
      <c r="A1" s="463" t="s">
        <v>408</v>
      </c>
      <c r="B1" s="463"/>
      <c r="C1" s="463"/>
    </row>
    <row r="2" spans="1:33" x14ac:dyDescent="0.2">
      <c r="A2" s="419" t="s">
        <v>409</v>
      </c>
      <c r="B2" s="419"/>
      <c r="C2" s="419"/>
      <c r="D2" s="419"/>
    </row>
    <row r="3" spans="1:33" ht="16" thickBot="1" x14ac:dyDescent="0.25">
      <c r="A3" s="130"/>
    </row>
    <row r="4" spans="1:33" ht="16" thickBot="1" x14ac:dyDescent="0.25">
      <c r="A4" s="131" t="s">
        <v>410</v>
      </c>
      <c r="B4" s="150">
        <f>Proj_Inputs!$B$7</f>
        <v>2027</v>
      </c>
      <c r="C4" s="150">
        <f>B4+1</f>
        <v>2028</v>
      </c>
      <c r="D4" s="150">
        <f>C4+1</f>
        <v>2029</v>
      </c>
      <c r="E4" s="150">
        <f t="shared" ref="E4:Z4" si="0">D4+1</f>
        <v>2030</v>
      </c>
      <c r="F4" s="150">
        <f t="shared" si="0"/>
        <v>2031</v>
      </c>
      <c r="G4" s="150">
        <f t="shared" si="0"/>
        <v>2032</v>
      </c>
      <c r="H4" s="150">
        <f t="shared" si="0"/>
        <v>2033</v>
      </c>
      <c r="I4" s="150">
        <f t="shared" si="0"/>
        <v>2034</v>
      </c>
      <c r="J4" s="150">
        <f t="shared" si="0"/>
        <v>2035</v>
      </c>
      <c r="K4" s="150">
        <f t="shared" si="0"/>
        <v>2036</v>
      </c>
      <c r="L4" s="150">
        <f t="shared" si="0"/>
        <v>2037</v>
      </c>
      <c r="M4" s="150">
        <f t="shared" si="0"/>
        <v>2038</v>
      </c>
      <c r="N4" s="150">
        <f t="shared" si="0"/>
        <v>2039</v>
      </c>
      <c r="O4" s="150">
        <f t="shared" si="0"/>
        <v>2040</v>
      </c>
      <c r="P4" s="150">
        <f t="shared" si="0"/>
        <v>2041</v>
      </c>
      <c r="Q4" s="150">
        <f t="shared" si="0"/>
        <v>2042</v>
      </c>
      <c r="R4" s="150">
        <f t="shared" si="0"/>
        <v>2043</v>
      </c>
      <c r="S4" s="150">
        <f t="shared" si="0"/>
        <v>2044</v>
      </c>
      <c r="T4" s="150">
        <f t="shared" si="0"/>
        <v>2045</v>
      </c>
      <c r="U4" s="150">
        <f t="shared" si="0"/>
        <v>2046</v>
      </c>
      <c r="V4" s="150">
        <f t="shared" si="0"/>
        <v>2047</v>
      </c>
      <c r="W4" s="150">
        <f t="shared" si="0"/>
        <v>2048</v>
      </c>
      <c r="X4" s="150">
        <f t="shared" si="0"/>
        <v>2049</v>
      </c>
      <c r="Y4" s="150">
        <f t="shared" si="0"/>
        <v>2050</v>
      </c>
      <c r="Z4" s="150">
        <f t="shared" si="0"/>
        <v>2051</v>
      </c>
      <c r="AA4" s="470" t="s">
        <v>115</v>
      </c>
      <c r="AB4" s="471"/>
      <c r="AC4" s="471"/>
      <c r="AD4" s="471"/>
      <c r="AE4" s="471"/>
      <c r="AF4" s="471"/>
      <c r="AG4" s="472"/>
    </row>
    <row r="5" spans="1:33" x14ac:dyDescent="0.2">
      <c r="A5" s="135" t="s">
        <v>176</v>
      </c>
      <c r="B5" s="165">
        <v>1</v>
      </c>
      <c r="C5" s="165">
        <v>2</v>
      </c>
      <c r="D5" s="165">
        <v>3</v>
      </c>
      <c r="E5" s="165">
        <v>4</v>
      </c>
      <c r="F5" s="165">
        <v>5</v>
      </c>
      <c r="G5" s="165">
        <v>6</v>
      </c>
      <c r="H5" s="165">
        <v>7</v>
      </c>
      <c r="I5" s="165">
        <v>8</v>
      </c>
      <c r="J5" s="165">
        <v>9</v>
      </c>
      <c r="K5" s="165">
        <v>10</v>
      </c>
      <c r="L5" s="165">
        <v>11</v>
      </c>
      <c r="M5" s="165">
        <v>12</v>
      </c>
      <c r="N5" s="165">
        <v>13</v>
      </c>
      <c r="O5" s="165">
        <v>14</v>
      </c>
      <c r="P5" s="165">
        <v>15</v>
      </c>
      <c r="Q5" s="165">
        <v>16</v>
      </c>
      <c r="R5" s="165">
        <v>17</v>
      </c>
      <c r="S5" s="165">
        <v>18</v>
      </c>
      <c r="T5" s="165">
        <v>19</v>
      </c>
      <c r="U5" s="165">
        <v>20</v>
      </c>
      <c r="V5" s="165">
        <v>21</v>
      </c>
      <c r="W5" s="165">
        <v>22</v>
      </c>
      <c r="X5" s="165">
        <v>23</v>
      </c>
      <c r="Y5" s="165">
        <v>24</v>
      </c>
      <c r="Z5" s="165">
        <v>25</v>
      </c>
      <c r="AA5" s="466"/>
      <c r="AB5" s="465"/>
      <c r="AC5" s="465"/>
      <c r="AD5" s="465"/>
      <c r="AE5" s="465"/>
      <c r="AF5" s="465"/>
      <c r="AG5" s="465"/>
    </row>
    <row r="6" spans="1:33" x14ac:dyDescent="0.2">
      <c r="A6" s="135" t="s">
        <v>411</v>
      </c>
      <c r="B6" s="166">
        <v>0.1</v>
      </c>
      <c r="C6" s="166">
        <v>0.15</v>
      </c>
      <c r="D6" s="166">
        <v>0.15</v>
      </c>
      <c r="E6" s="166">
        <v>0.2</v>
      </c>
      <c r="F6" s="166">
        <v>0.2</v>
      </c>
      <c r="G6" s="166">
        <v>0.15</v>
      </c>
      <c r="H6" s="166">
        <v>0.05</v>
      </c>
      <c r="I6" s="166">
        <v>0</v>
      </c>
      <c r="J6" s="166">
        <v>0</v>
      </c>
      <c r="K6" s="166">
        <v>0</v>
      </c>
      <c r="L6" s="166">
        <v>0</v>
      </c>
      <c r="M6" s="166">
        <v>0</v>
      </c>
      <c r="N6" s="166">
        <v>0</v>
      </c>
      <c r="O6" s="166">
        <v>0</v>
      </c>
      <c r="P6" s="166">
        <v>0</v>
      </c>
      <c r="Q6" s="166">
        <v>0</v>
      </c>
      <c r="R6" s="166">
        <v>0</v>
      </c>
      <c r="S6" s="166">
        <v>0</v>
      </c>
      <c r="T6" s="166">
        <v>0</v>
      </c>
      <c r="U6" s="166">
        <v>0</v>
      </c>
      <c r="V6" s="166">
        <v>0</v>
      </c>
      <c r="W6" s="166">
        <v>0</v>
      </c>
      <c r="X6" s="166">
        <v>0</v>
      </c>
      <c r="Y6" s="166">
        <v>0</v>
      </c>
      <c r="Z6" s="166">
        <v>0</v>
      </c>
      <c r="AA6" s="466" t="s">
        <v>412</v>
      </c>
      <c r="AB6" s="465"/>
      <c r="AC6" s="465"/>
      <c r="AD6" s="465"/>
      <c r="AE6" s="465"/>
      <c r="AF6" s="465"/>
      <c r="AG6" s="465"/>
    </row>
    <row r="7" spans="1:33" x14ac:dyDescent="0.2">
      <c r="A7" s="135" t="s">
        <v>413</v>
      </c>
      <c r="B7" s="167">
        <v>0</v>
      </c>
      <c r="C7" s="167">
        <v>0.3</v>
      </c>
      <c r="D7" s="167">
        <v>0.9</v>
      </c>
      <c r="E7" s="167">
        <v>1.75</v>
      </c>
      <c r="F7" s="167">
        <v>2.8</v>
      </c>
      <c r="G7" s="167">
        <v>4</v>
      </c>
      <c r="H7" s="167">
        <v>5</v>
      </c>
      <c r="I7" s="167">
        <v>5.55</v>
      </c>
      <c r="J7" s="167">
        <v>5.55</v>
      </c>
      <c r="K7" s="167">
        <v>5.55</v>
      </c>
      <c r="L7" s="167">
        <v>5.55</v>
      </c>
      <c r="M7" s="167">
        <v>5.55</v>
      </c>
      <c r="N7" s="167">
        <v>5.55</v>
      </c>
      <c r="O7" s="167">
        <v>5.55</v>
      </c>
      <c r="P7" s="167">
        <v>5.55</v>
      </c>
      <c r="Q7" s="167">
        <v>5.55</v>
      </c>
      <c r="R7" s="167">
        <v>5.55</v>
      </c>
      <c r="S7" s="167">
        <v>5.55</v>
      </c>
      <c r="T7" s="167">
        <v>5.55</v>
      </c>
      <c r="U7" s="167">
        <v>5.55</v>
      </c>
      <c r="V7" s="167">
        <v>5.55</v>
      </c>
      <c r="W7" s="167">
        <v>5.55</v>
      </c>
      <c r="X7" s="167">
        <v>5.55</v>
      </c>
      <c r="Y7" s="167">
        <v>5.55</v>
      </c>
      <c r="Z7" s="167">
        <v>5.55</v>
      </c>
      <c r="AA7" s="466" t="s">
        <v>414</v>
      </c>
      <c r="AB7" s="465"/>
      <c r="AC7" s="465"/>
      <c r="AD7" s="465"/>
      <c r="AE7" s="465"/>
      <c r="AF7" s="465"/>
      <c r="AG7" s="465"/>
    </row>
    <row r="8" spans="1:33" x14ac:dyDescent="0.2">
      <c r="A8" s="135" t="s">
        <v>415</v>
      </c>
      <c r="B8" s="167">
        <v>0</v>
      </c>
      <c r="C8" s="167">
        <v>0</v>
      </c>
      <c r="D8" s="167">
        <v>0</v>
      </c>
      <c r="E8" s="167">
        <v>0</v>
      </c>
      <c r="F8" s="167">
        <v>0</v>
      </c>
      <c r="G8" s="167">
        <v>0</v>
      </c>
      <c r="H8" s="167">
        <v>0</v>
      </c>
      <c r="I8" s="167">
        <v>0</v>
      </c>
      <c r="J8" s="167">
        <v>0</v>
      </c>
      <c r="K8" s="167">
        <v>0</v>
      </c>
      <c r="L8" s="167">
        <v>0</v>
      </c>
      <c r="M8" s="167">
        <v>0</v>
      </c>
      <c r="N8" s="167">
        <v>0</v>
      </c>
      <c r="O8" s="167">
        <v>0</v>
      </c>
      <c r="P8" s="167">
        <v>0</v>
      </c>
      <c r="Q8" s="167">
        <v>0</v>
      </c>
      <c r="R8" s="167">
        <v>0</v>
      </c>
      <c r="S8" s="167">
        <v>0</v>
      </c>
      <c r="T8" s="167">
        <v>0</v>
      </c>
      <c r="U8" s="167">
        <v>0</v>
      </c>
      <c r="V8" s="167">
        <v>0</v>
      </c>
      <c r="W8" s="167">
        <v>0</v>
      </c>
      <c r="X8" s="167">
        <v>0</v>
      </c>
      <c r="Y8" s="167">
        <v>0</v>
      </c>
      <c r="Z8" s="167">
        <v>0</v>
      </c>
      <c r="AA8" s="466" t="s">
        <v>416</v>
      </c>
      <c r="AB8" s="465"/>
      <c r="AC8" s="465"/>
      <c r="AD8" s="465"/>
      <c r="AE8" s="465"/>
      <c r="AF8" s="465"/>
      <c r="AG8" s="465"/>
    </row>
    <row r="9" spans="1:33" ht="16" thickBot="1" x14ac:dyDescent="0.25">
      <c r="A9" s="141" t="s">
        <v>417</v>
      </c>
      <c r="B9" s="151">
        <f>(1+Proj_Inputs!$B$19)^(B$4-Proj_Inputs!$B$18)</f>
        <v>1.02</v>
      </c>
      <c r="C9" s="151">
        <f>(1+Proj_Inputs!$B$19)^(C$4-Proj_Inputs!$B$18)</f>
        <v>1.0404</v>
      </c>
      <c r="D9" s="151">
        <f>(1+Proj_Inputs!$B$19)^(D$4-Proj_Inputs!$B$18)</f>
        <v>1.0612079999999999</v>
      </c>
      <c r="E9" s="151">
        <f>(1+Proj_Inputs!$B$19)^(E$4-Proj_Inputs!$B$18)</f>
        <v>1.08243216</v>
      </c>
      <c r="F9" s="151">
        <f>(1+Proj_Inputs!$B$19)^(F$4-Proj_Inputs!$B$18)</f>
        <v>1.1040808032</v>
      </c>
      <c r="G9" s="151">
        <f>(1+Proj_Inputs!$B$19)^(G$4-Proj_Inputs!$B$18)</f>
        <v>1.1261624192640001</v>
      </c>
      <c r="H9" s="151">
        <f>(1+Proj_Inputs!$B$19)^(H$4-Proj_Inputs!$B$18)</f>
        <v>1.1486856676492798</v>
      </c>
      <c r="I9" s="151">
        <f>(1+Proj_Inputs!$B$19)^(I$4-Proj_Inputs!$B$18)</f>
        <v>1.1716593810022655</v>
      </c>
      <c r="J9" s="151">
        <f>(1+Proj_Inputs!$B$19)^(J$4-Proj_Inputs!$B$18)</f>
        <v>1.1950925686223108</v>
      </c>
      <c r="K9" s="151">
        <f>(1+Proj_Inputs!$B$19)^(K$4-Proj_Inputs!$B$18)</f>
        <v>1.2189944199947571</v>
      </c>
      <c r="L9" s="151">
        <f>(1+Proj_Inputs!$B$19)^(L$4-Proj_Inputs!$B$18)</f>
        <v>1.243374308394652</v>
      </c>
      <c r="M9" s="151">
        <f>(1+Proj_Inputs!$B$19)^(M$4-Proj_Inputs!$B$18)</f>
        <v>1.2682417945625453</v>
      </c>
      <c r="N9" s="151">
        <f>(1+Proj_Inputs!$B$19)^(N$4-Proj_Inputs!$B$18)</f>
        <v>1.2936066304537961</v>
      </c>
      <c r="O9" s="151">
        <f>(1+Proj_Inputs!$B$19)^(O$4-Proj_Inputs!$B$18)</f>
        <v>1.3194787630628722</v>
      </c>
      <c r="P9" s="151">
        <f>(1+Proj_Inputs!$B$19)^(P$4-Proj_Inputs!$B$18)</f>
        <v>1.3458683383241292</v>
      </c>
      <c r="Q9" s="151">
        <f>(1+Proj_Inputs!$B$19)^(Q$4-Proj_Inputs!$B$18)</f>
        <v>1.372785705090612</v>
      </c>
      <c r="R9" s="151">
        <f>(1+Proj_Inputs!$B$19)^(R$4-Proj_Inputs!$B$18)</f>
        <v>1.4002414191924244</v>
      </c>
      <c r="S9" s="151">
        <f>(1+Proj_Inputs!$B$19)^(S$4-Proj_Inputs!$B$18)</f>
        <v>1.4282462475762727</v>
      </c>
      <c r="T9" s="151">
        <f>(1+Proj_Inputs!$B$19)^(T$4-Proj_Inputs!$B$18)</f>
        <v>1.4568111725277981</v>
      </c>
      <c r="U9" s="151">
        <f>(1+Proj_Inputs!$B$19)^(U$4-Proj_Inputs!$B$18)</f>
        <v>1.4859473959783542</v>
      </c>
      <c r="V9" s="151">
        <f>(1+Proj_Inputs!$B$19)^(V$4-Proj_Inputs!$B$18)</f>
        <v>1.5156663438979212</v>
      </c>
      <c r="W9" s="151">
        <f>(1+Proj_Inputs!$B$19)^(W$4-Proj_Inputs!$B$18)</f>
        <v>1.5459796707758797</v>
      </c>
      <c r="X9" s="151">
        <f>(1+Proj_Inputs!$B$19)^(X$4-Proj_Inputs!$B$18)</f>
        <v>1.576899264191397</v>
      </c>
      <c r="Y9" s="151">
        <f>(1+Proj_Inputs!$B$19)^(Y$4-Proj_Inputs!$B$18)</f>
        <v>1.608437249475225</v>
      </c>
      <c r="Z9" s="151">
        <f>(1+Proj_Inputs!$B$19)^(Z$4-Proj_Inputs!$B$18)</f>
        <v>1.6406059944647295</v>
      </c>
      <c r="AA9" s="467" t="s">
        <v>418</v>
      </c>
      <c r="AB9" s="468"/>
      <c r="AC9" s="468"/>
      <c r="AD9" s="468"/>
      <c r="AE9" s="468"/>
      <c r="AF9" s="468"/>
      <c r="AG9" s="469"/>
    </row>
    <row r="10" spans="1:33" ht="16" thickBot="1" x14ac:dyDescent="0.25"/>
    <row r="11" spans="1:33" ht="16" thickBot="1" x14ac:dyDescent="0.25">
      <c r="A11" s="131" t="s">
        <v>419</v>
      </c>
      <c r="B11" s="150">
        <f t="shared" ref="B11:Z11" si="1">B4</f>
        <v>2027</v>
      </c>
      <c r="C11" s="150">
        <f t="shared" si="1"/>
        <v>2028</v>
      </c>
      <c r="D11" s="150">
        <f t="shared" si="1"/>
        <v>2029</v>
      </c>
      <c r="E11" s="150">
        <f t="shared" si="1"/>
        <v>2030</v>
      </c>
      <c r="F11" s="150">
        <f t="shared" si="1"/>
        <v>2031</v>
      </c>
      <c r="G11" s="150">
        <f t="shared" si="1"/>
        <v>2032</v>
      </c>
      <c r="H11" s="150">
        <f t="shared" si="1"/>
        <v>2033</v>
      </c>
      <c r="I11" s="150">
        <f t="shared" si="1"/>
        <v>2034</v>
      </c>
      <c r="J11" s="150">
        <f t="shared" si="1"/>
        <v>2035</v>
      </c>
      <c r="K11" s="150">
        <f t="shared" si="1"/>
        <v>2036</v>
      </c>
      <c r="L11" s="150">
        <f t="shared" si="1"/>
        <v>2037</v>
      </c>
      <c r="M11" s="150">
        <f t="shared" si="1"/>
        <v>2038</v>
      </c>
      <c r="N11" s="150">
        <f t="shared" si="1"/>
        <v>2039</v>
      </c>
      <c r="O11" s="150">
        <f t="shared" si="1"/>
        <v>2040</v>
      </c>
      <c r="P11" s="150">
        <f t="shared" si="1"/>
        <v>2041</v>
      </c>
      <c r="Q11" s="150">
        <f t="shared" si="1"/>
        <v>2042</v>
      </c>
      <c r="R11" s="150">
        <f t="shared" si="1"/>
        <v>2043</v>
      </c>
      <c r="S11" s="150">
        <f t="shared" si="1"/>
        <v>2044</v>
      </c>
      <c r="T11" s="150">
        <f t="shared" si="1"/>
        <v>2045</v>
      </c>
      <c r="U11" s="150">
        <f t="shared" si="1"/>
        <v>2046</v>
      </c>
      <c r="V11" s="150">
        <f t="shared" si="1"/>
        <v>2047</v>
      </c>
      <c r="W11" s="150">
        <f t="shared" si="1"/>
        <v>2048</v>
      </c>
      <c r="X11" s="150">
        <f t="shared" si="1"/>
        <v>2049</v>
      </c>
      <c r="Y11" s="150">
        <f t="shared" si="1"/>
        <v>2050</v>
      </c>
      <c r="Z11" s="150">
        <f t="shared" si="1"/>
        <v>2051</v>
      </c>
      <c r="AA11" s="470" t="s">
        <v>115</v>
      </c>
      <c r="AB11" s="471"/>
      <c r="AC11" s="471"/>
      <c r="AD11" s="471"/>
      <c r="AE11" s="471"/>
      <c r="AF11" s="471"/>
      <c r="AG11" s="472"/>
    </row>
    <row r="12" spans="1:33" x14ac:dyDescent="0.2">
      <c r="A12" s="135" t="s">
        <v>420</v>
      </c>
      <c r="B12" s="140">
        <f>B7*Proj_Inputs!$B$20</f>
        <v>0</v>
      </c>
      <c r="C12" s="140">
        <f>C7*Proj_Inputs!$B$20</f>
        <v>0.27</v>
      </c>
      <c r="D12" s="140">
        <f>D7*Proj_Inputs!$B$20</f>
        <v>0.81</v>
      </c>
      <c r="E12" s="140">
        <f>E7*Proj_Inputs!$B$20</f>
        <v>1.575</v>
      </c>
      <c r="F12" s="140">
        <f>F7*Proj_Inputs!$B$20</f>
        <v>2.52</v>
      </c>
      <c r="G12" s="140">
        <f>G7*Proj_Inputs!$B$20</f>
        <v>3.6</v>
      </c>
      <c r="H12" s="140">
        <f>H7*Proj_Inputs!$B$20</f>
        <v>4.5</v>
      </c>
      <c r="I12" s="140">
        <f>I7*Proj_Inputs!$B$20</f>
        <v>4.9950000000000001</v>
      </c>
      <c r="J12" s="140">
        <f>J7*Proj_Inputs!$B$20</f>
        <v>4.9950000000000001</v>
      </c>
      <c r="K12" s="140">
        <f>K7*Proj_Inputs!$B$20</f>
        <v>4.9950000000000001</v>
      </c>
      <c r="L12" s="140">
        <f>L7*Proj_Inputs!$B$20</f>
        <v>4.9950000000000001</v>
      </c>
      <c r="M12" s="140">
        <f>M7*Proj_Inputs!$B$20</f>
        <v>4.9950000000000001</v>
      </c>
      <c r="N12" s="140">
        <f>N7*Proj_Inputs!$B$20</f>
        <v>4.9950000000000001</v>
      </c>
      <c r="O12" s="140">
        <f>O7*Proj_Inputs!$B$20</f>
        <v>4.9950000000000001</v>
      </c>
      <c r="P12" s="140">
        <f>P7*Proj_Inputs!$B$20</f>
        <v>4.9950000000000001</v>
      </c>
      <c r="Q12" s="140">
        <f>Q7*Proj_Inputs!$B$20</f>
        <v>4.9950000000000001</v>
      </c>
      <c r="R12" s="140">
        <f>R7*Proj_Inputs!$B$20</f>
        <v>4.9950000000000001</v>
      </c>
      <c r="S12" s="140">
        <f>S7*Proj_Inputs!$B$20</f>
        <v>4.9950000000000001</v>
      </c>
      <c r="T12" s="140">
        <f>T7*Proj_Inputs!$B$20</f>
        <v>4.9950000000000001</v>
      </c>
      <c r="U12" s="140">
        <f>U7*Proj_Inputs!$B$20</f>
        <v>4.9950000000000001</v>
      </c>
      <c r="V12" s="140">
        <f>V7*Proj_Inputs!$B$20</f>
        <v>4.9950000000000001</v>
      </c>
      <c r="W12" s="140">
        <f>W7*Proj_Inputs!$B$20</f>
        <v>4.9950000000000001</v>
      </c>
      <c r="X12" s="140">
        <f>X7*Proj_Inputs!$B$20</f>
        <v>4.9950000000000001</v>
      </c>
      <c r="Y12" s="140">
        <f>Y7*Proj_Inputs!$B$20</f>
        <v>4.9950000000000001</v>
      </c>
      <c r="Z12" s="140">
        <f>Z7*Proj_Inputs!$B$20</f>
        <v>4.9950000000000001</v>
      </c>
      <c r="AA12" s="466" t="s">
        <v>421</v>
      </c>
      <c r="AB12" s="465"/>
      <c r="AC12" s="465"/>
      <c r="AD12" s="465"/>
      <c r="AE12" s="465"/>
      <c r="AF12" s="465"/>
      <c r="AG12" s="465"/>
    </row>
    <row r="13" spans="1:33" x14ac:dyDescent="0.2">
      <c r="A13" s="135" t="s">
        <v>422</v>
      </c>
      <c r="B13" s="140">
        <f>B8*Proj_Inputs!$B$20</f>
        <v>0</v>
      </c>
      <c r="C13" s="140">
        <f>C8*Proj_Inputs!$B$20</f>
        <v>0</v>
      </c>
      <c r="D13" s="140">
        <f>D8*Proj_Inputs!$B$20</f>
        <v>0</v>
      </c>
      <c r="E13" s="140">
        <f>E8*Proj_Inputs!$B$20</f>
        <v>0</v>
      </c>
      <c r="F13" s="140">
        <f>F8*Proj_Inputs!$B$20</f>
        <v>0</v>
      </c>
      <c r="G13" s="140">
        <f>G8*Proj_Inputs!$B$20</f>
        <v>0</v>
      </c>
      <c r="H13" s="140">
        <f>H8*Proj_Inputs!$B$20</f>
        <v>0</v>
      </c>
      <c r="I13" s="140">
        <f>I8*Proj_Inputs!$B$20</f>
        <v>0</v>
      </c>
      <c r="J13" s="140">
        <f>J8*Proj_Inputs!$B$20</f>
        <v>0</v>
      </c>
      <c r="K13" s="140">
        <f>K8*Proj_Inputs!$B$20</f>
        <v>0</v>
      </c>
      <c r="L13" s="140">
        <f>L8*Proj_Inputs!$B$20</f>
        <v>0</v>
      </c>
      <c r="M13" s="140">
        <f>M8*Proj_Inputs!$B$20</f>
        <v>0</v>
      </c>
      <c r="N13" s="140">
        <f>N8*Proj_Inputs!$B$20</f>
        <v>0</v>
      </c>
      <c r="O13" s="140">
        <f>O8*Proj_Inputs!$B$20</f>
        <v>0</v>
      </c>
      <c r="P13" s="140">
        <f>P8*Proj_Inputs!$B$20</f>
        <v>0</v>
      </c>
      <c r="Q13" s="140">
        <f>Q8*Proj_Inputs!$B$20</f>
        <v>0</v>
      </c>
      <c r="R13" s="140">
        <f>R8*Proj_Inputs!$B$20</f>
        <v>0</v>
      </c>
      <c r="S13" s="140">
        <f>S8*Proj_Inputs!$B$20</f>
        <v>0</v>
      </c>
      <c r="T13" s="140">
        <f>T8*Proj_Inputs!$B$20</f>
        <v>0</v>
      </c>
      <c r="U13" s="140">
        <f>U8*Proj_Inputs!$B$20</f>
        <v>0</v>
      </c>
      <c r="V13" s="140">
        <f>V8*Proj_Inputs!$B$20</f>
        <v>0</v>
      </c>
      <c r="W13" s="140">
        <f>W8*Proj_Inputs!$B$20</f>
        <v>0</v>
      </c>
      <c r="X13" s="140">
        <f>X8*Proj_Inputs!$B$20</f>
        <v>0</v>
      </c>
      <c r="Y13" s="140">
        <f>Y8*Proj_Inputs!$B$20</f>
        <v>0</v>
      </c>
      <c r="Z13" s="140">
        <f>Z8*Proj_Inputs!$B$20</f>
        <v>0</v>
      </c>
      <c r="AA13" s="466" t="s">
        <v>421</v>
      </c>
      <c r="AB13" s="465"/>
      <c r="AC13" s="465"/>
      <c r="AD13" s="465"/>
      <c r="AE13" s="465"/>
      <c r="AF13" s="465"/>
      <c r="AG13" s="465"/>
    </row>
    <row r="14" spans="1:33" x14ac:dyDescent="0.2">
      <c r="A14" s="135" t="s">
        <v>88</v>
      </c>
      <c r="B14" s="145">
        <f>(B12*Proj_Inputs!$B$16+B13*Proj_Inputs!$B$17)*B9</f>
        <v>0</v>
      </c>
      <c r="C14" s="145">
        <f>(C12*Proj_Inputs!$B$16+C13*Proj_Inputs!$B$17)*C9</f>
        <v>46.349820000000001</v>
      </c>
      <c r="D14" s="145">
        <f>(D12*Proj_Inputs!$B$16+D13*Proj_Inputs!$B$17)*D9</f>
        <v>141.8304492</v>
      </c>
      <c r="E14" s="145">
        <f>(E12*Proj_Inputs!$B$16+E13*Proj_Inputs!$B$17)*E9</f>
        <v>281.29705758</v>
      </c>
      <c r="F14" s="145">
        <f>(F12*Proj_Inputs!$B$16+F13*Proj_Inputs!$B$17)*F9</f>
        <v>459.07679797055999</v>
      </c>
      <c r="G14" s="145">
        <f>(G12*Proj_Inputs!$B$16+G13*Proj_Inputs!$B$17)*G9</f>
        <v>668.94047704281604</v>
      </c>
      <c r="H14" s="145">
        <f>(H12*Proj_Inputs!$B$16+H13*Proj_Inputs!$B$17)*H9</f>
        <v>852.8991082295903</v>
      </c>
      <c r="I14" s="145">
        <f>(I12*Proj_Inputs!$B$16+I13*Proj_Inputs!$B$17)*I9</f>
        <v>965.65237033754227</v>
      </c>
      <c r="J14" s="145">
        <f>(J12*Proj_Inputs!$B$16+J13*Proj_Inputs!$B$17)*J9</f>
        <v>984.96541774429306</v>
      </c>
      <c r="K14" s="145">
        <f>(K12*Proj_Inputs!$B$16+K13*Proj_Inputs!$B$17)*K9</f>
        <v>1004.664726099179</v>
      </c>
      <c r="L14" s="145">
        <f>(L12*Proj_Inputs!$B$16+L13*Proj_Inputs!$B$17)*L9</f>
        <v>1024.7580206211624</v>
      </c>
      <c r="M14" s="145">
        <f>(M12*Proj_Inputs!$B$16+M13*Proj_Inputs!$B$17)*M9</f>
        <v>1045.2531810335859</v>
      </c>
      <c r="N14" s="145">
        <f>(N12*Proj_Inputs!$B$16+N13*Proj_Inputs!$B$17)*N9</f>
        <v>1066.1582446542575</v>
      </c>
      <c r="O14" s="145">
        <f>(O12*Proj_Inputs!$B$16+O13*Proj_Inputs!$B$17)*O9</f>
        <v>1087.4814095473428</v>
      </c>
      <c r="P14" s="145">
        <f>(P12*Proj_Inputs!$B$16+P13*Proj_Inputs!$B$17)*P9</f>
        <v>1109.2310377382894</v>
      </c>
      <c r="Q14" s="145">
        <f>(Q12*Proj_Inputs!$B$16+Q13*Proj_Inputs!$B$17)*Q9</f>
        <v>1131.4156584930552</v>
      </c>
      <c r="R14" s="145">
        <f>(R12*Proj_Inputs!$B$16+R13*Proj_Inputs!$B$17)*R9</f>
        <v>1154.0439716629164</v>
      </c>
      <c r="S14" s="145">
        <f>(S12*Proj_Inputs!$B$16+S13*Proj_Inputs!$B$17)*S9</f>
        <v>1177.1248510961748</v>
      </c>
      <c r="T14" s="145">
        <f>(T12*Proj_Inputs!$B$16+T13*Proj_Inputs!$B$17)*T9</f>
        <v>1200.6673481180981</v>
      </c>
      <c r="U14" s="145">
        <f>(U12*Proj_Inputs!$B$16+U13*Proj_Inputs!$B$17)*U9</f>
        <v>1224.6806950804603</v>
      </c>
      <c r="V14" s="145">
        <f>(V12*Proj_Inputs!$B$16+V13*Proj_Inputs!$B$17)*V9</f>
        <v>1249.1743089820693</v>
      </c>
      <c r="W14" s="145">
        <f>(W12*Proj_Inputs!$B$16+W13*Proj_Inputs!$B$17)*W9</f>
        <v>1274.1577951617107</v>
      </c>
      <c r="X14" s="145">
        <f>(X12*Proj_Inputs!$B$16+X13*Proj_Inputs!$B$17)*X9</f>
        <v>1299.6409510649448</v>
      </c>
      <c r="Y14" s="145">
        <f>(Y12*Proj_Inputs!$B$16+Y13*Proj_Inputs!$B$17)*Y9</f>
        <v>1325.6337700862437</v>
      </c>
      <c r="Z14" s="145">
        <f>(Z12*Proj_Inputs!$B$16+Z13*Proj_Inputs!$B$17)*Z9</f>
        <v>1352.1464454879685</v>
      </c>
      <c r="AA14" s="464" t="s">
        <v>423</v>
      </c>
      <c r="AB14" s="419"/>
      <c r="AC14" s="419"/>
      <c r="AD14" s="419"/>
      <c r="AE14" s="419"/>
      <c r="AF14" s="419"/>
      <c r="AG14" s="465"/>
    </row>
    <row r="15" spans="1:33" x14ac:dyDescent="0.2">
      <c r="A15" s="362" t="s">
        <v>177</v>
      </c>
      <c r="B15" s="363">
        <f>B14*Proj_Inputs!$B$21</f>
        <v>0</v>
      </c>
      <c r="C15" s="363">
        <f>C14*Proj_Inputs!$B$21</f>
        <v>9.7880934412965868</v>
      </c>
      <c r="D15" s="363">
        <f>D14*Proj_Inputs!$B$21</f>
        <v>29.951565930367558</v>
      </c>
      <c r="E15" s="363">
        <f>E14*Proj_Inputs!$B$21</f>
        <v>59.403939095228985</v>
      </c>
      <c r="F15" s="363">
        <f>F14*Proj_Inputs!$B$21</f>
        <v>96.947228603413706</v>
      </c>
      <c r="G15" s="363">
        <f>G14*Proj_Inputs!$B$21</f>
        <v>141.26596167925999</v>
      </c>
      <c r="H15" s="363">
        <f>H14*Proj_Inputs!$B$21</f>
        <v>180.11410114105644</v>
      </c>
      <c r="I15" s="363">
        <f>I14*Proj_Inputs!$B$21</f>
        <v>203.92518531190413</v>
      </c>
      <c r="J15" s="363">
        <f>J14*Proj_Inputs!$B$21</f>
        <v>208.00368901814221</v>
      </c>
      <c r="K15" s="363">
        <f>K14*Proj_Inputs!$B$21</f>
        <v>212.16376279850508</v>
      </c>
      <c r="L15" s="363">
        <f>L14*Proj_Inputs!$B$21</f>
        <v>216.40703805447512</v>
      </c>
      <c r="M15" s="363">
        <f>M14*Proj_Inputs!$B$21</f>
        <v>220.73517881556467</v>
      </c>
      <c r="N15" s="363">
        <f>N14*Proj_Inputs!$B$21</f>
        <v>225.14988239187596</v>
      </c>
      <c r="O15" s="363">
        <f>O14*Proj_Inputs!$B$21</f>
        <v>229.65288003971349</v>
      </c>
      <c r="P15" s="363">
        <f>P14*Proj_Inputs!$B$21</f>
        <v>234.24593764050772</v>
      </c>
      <c r="Q15" s="363">
        <f>Q14*Proj_Inputs!$B$21</f>
        <v>238.93085639331787</v>
      </c>
      <c r="R15" s="363">
        <f>R14*Proj_Inputs!$B$21</f>
        <v>243.70947352118426</v>
      </c>
      <c r="S15" s="363">
        <f>S14*Proj_Inputs!$B$21</f>
        <v>248.58366299160795</v>
      </c>
      <c r="T15" s="363">
        <f>T14*Proj_Inputs!$B$21</f>
        <v>253.55533625144005</v>
      </c>
      <c r="U15" s="363">
        <f>U14*Proj_Inputs!$B$21</f>
        <v>258.62644297646892</v>
      </c>
      <c r="V15" s="363">
        <f>V14*Proj_Inputs!$B$21</f>
        <v>263.79897183599826</v>
      </c>
      <c r="W15" s="363">
        <f>W14*Proj_Inputs!$B$21</f>
        <v>269.07495127271824</v>
      </c>
      <c r="X15" s="363">
        <f>X14*Proj_Inputs!$B$21</f>
        <v>274.45645029817257</v>
      </c>
      <c r="Y15" s="363">
        <f>Y14*Proj_Inputs!$B$21</f>
        <v>279.945579304136</v>
      </c>
      <c r="Z15" s="364">
        <f>Z14*Proj_Inputs!$B$21</f>
        <v>285.54449089021875</v>
      </c>
      <c r="AA15" s="464" t="s">
        <v>424</v>
      </c>
      <c r="AB15" s="419"/>
      <c r="AC15" s="419"/>
      <c r="AD15" s="419"/>
      <c r="AE15" s="419"/>
      <c r="AF15" s="419"/>
      <c r="AG15" s="465"/>
    </row>
    <row r="16" spans="1:33" x14ac:dyDescent="0.2">
      <c r="A16" s="135" t="s">
        <v>425</v>
      </c>
      <c r="B16" s="145" cm="1">
        <f t="array" ref="B16">SUMPRODUCT(($B$5:$Z$5&gt;=B$5-Proj_Inputs!$B$23)*($B$5:$Z$5&lt;=B$5-1)*$B$22:$Z$22)/Proj_Inputs!$B$23</f>
        <v>0</v>
      </c>
      <c r="C16" s="145" cm="1">
        <f t="array" ref="C16">SUMPRODUCT(($B$5:$Z$5&gt;=C$5-Proj_Inputs!$B$23)*($B$5:$Z$5&lt;=C$5-1)*$B$22:$Z$22)/Proj_Inputs!$B$23</f>
        <v>-8</v>
      </c>
      <c r="D16" s="145" cm="1">
        <f t="array" ref="D16">SUMPRODUCT(($B$5:$Z$5&gt;=D$5-Proj_Inputs!$B$23)*($B$5:$Z$5&lt;=D$5-1)*$B$22:$Z$22)/Proj_Inputs!$B$23</f>
        <v>-20</v>
      </c>
      <c r="E16" s="145" cm="1">
        <f t="array" ref="E16">SUMPRODUCT(($B$5:$Z$5&gt;=E$5-Proj_Inputs!$B$23)*($B$5:$Z$5&lt;=E$5-1)*$B$22:$Z$22)/Proj_Inputs!$B$23</f>
        <v>-32</v>
      </c>
      <c r="F16" s="145" cm="1">
        <f t="array" ref="F16">SUMPRODUCT(($B$5:$Z$5&gt;=F$5-Proj_Inputs!$B$23)*($B$5:$Z$5&lt;=F$5-1)*$B$22:$Z$22)/Proj_Inputs!$B$23</f>
        <v>-48</v>
      </c>
      <c r="G16" s="145" cm="1">
        <f t="array" ref="G16">SUMPRODUCT(($B$5:$Z$5&gt;=G$5-Proj_Inputs!$B$23)*($B$5:$Z$5&lt;=G$5-1)*$B$22:$Z$22)/Proj_Inputs!$B$23</f>
        <v>-64</v>
      </c>
      <c r="H16" s="145" cm="1">
        <f t="array" ref="H16">SUMPRODUCT(($B$5:$Z$5&gt;=H$5-Proj_Inputs!$B$23)*($B$5:$Z$5&lt;=H$5-1)*$B$22:$Z$22)/Proj_Inputs!$B$23</f>
        <v>-76</v>
      </c>
      <c r="I16" s="145" cm="1">
        <f t="array" ref="I16">SUMPRODUCT(($B$5:$Z$5&gt;=I$5-Proj_Inputs!$B$23)*($B$5:$Z$5&lt;=I$5-1)*$B$22:$Z$22)/Proj_Inputs!$B$23</f>
        <v>-80</v>
      </c>
      <c r="J16" s="145" cm="1">
        <f t="array" ref="J16">SUMPRODUCT(($B$5:$Z$5&gt;=J$5-Proj_Inputs!$B$23)*($B$5:$Z$5&lt;=J$5-1)*$B$22:$Z$22)/Proj_Inputs!$B$23</f>
        <v>-80</v>
      </c>
      <c r="K16" s="145" cm="1">
        <f t="array" ref="K16">SUMPRODUCT(($B$5:$Z$5&gt;=K$5-Proj_Inputs!$B$23)*($B$5:$Z$5&lt;=K$5-1)*$B$22:$Z$22)/Proj_Inputs!$B$23</f>
        <v>-80</v>
      </c>
      <c r="L16" s="145" cm="1">
        <f t="array" ref="L16">SUMPRODUCT(($B$5:$Z$5&gt;=L$5-Proj_Inputs!$B$23)*($B$5:$Z$5&lt;=L$5-1)*$B$22:$Z$22)/Proj_Inputs!$B$23</f>
        <v>-80</v>
      </c>
      <c r="M16" s="145" cm="1">
        <f t="array" ref="M16">SUMPRODUCT(($B$5:$Z$5&gt;=M$5-Proj_Inputs!$B$23)*($B$5:$Z$5&lt;=M$5-1)*$B$22:$Z$22)/Proj_Inputs!$B$23</f>
        <v>-80</v>
      </c>
      <c r="N16" s="145" cm="1">
        <f t="array" ref="N16">SUMPRODUCT(($B$5:$Z$5&gt;=N$5-Proj_Inputs!$B$23)*($B$5:$Z$5&lt;=N$5-1)*$B$22:$Z$22)/Proj_Inputs!$B$23</f>
        <v>-80</v>
      </c>
      <c r="O16" s="145" cm="1">
        <f t="array" ref="O16">SUMPRODUCT(($B$5:$Z$5&gt;=O$5-Proj_Inputs!$B$23)*($B$5:$Z$5&lt;=O$5-1)*$B$22:$Z$22)/Proj_Inputs!$B$23</f>
        <v>-80</v>
      </c>
      <c r="P16" s="145" cm="1">
        <f t="array" ref="P16">SUMPRODUCT(($B$5:$Z$5&gt;=P$5-Proj_Inputs!$B$23)*($B$5:$Z$5&lt;=P$5-1)*$B$22:$Z$22)/Proj_Inputs!$B$23</f>
        <v>-80</v>
      </c>
      <c r="Q16" s="145" cm="1">
        <f t="array" ref="Q16">SUMPRODUCT(($B$5:$Z$5&gt;=Q$5-Proj_Inputs!$B$23)*($B$5:$Z$5&lt;=Q$5-1)*$B$22:$Z$22)/Proj_Inputs!$B$23</f>
        <v>-80</v>
      </c>
      <c r="R16" s="145" cm="1">
        <f t="array" ref="R16">SUMPRODUCT(($B$5:$Z$5&gt;=R$5-Proj_Inputs!$B$23)*($B$5:$Z$5&lt;=R$5-1)*$B$22:$Z$22)/Proj_Inputs!$B$23</f>
        <v>-72</v>
      </c>
      <c r="S16" s="145" cm="1">
        <f t="array" ref="S16">SUMPRODUCT(($B$5:$Z$5&gt;=S$5-Proj_Inputs!$B$23)*($B$5:$Z$5&lt;=S$5-1)*$B$22:$Z$22)/Proj_Inputs!$B$23</f>
        <v>-60</v>
      </c>
      <c r="T16" s="145" cm="1">
        <f t="array" ref="T16">SUMPRODUCT(($B$5:$Z$5&gt;=T$5-Proj_Inputs!$B$23)*($B$5:$Z$5&lt;=T$5-1)*$B$22:$Z$22)/Proj_Inputs!$B$23</f>
        <v>-48</v>
      </c>
      <c r="U16" s="145" cm="1">
        <f t="array" ref="U16">SUMPRODUCT(($B$5:$Z$5&gt;=U$5-Proj_Inputs!$B$23)*($B$5:$Z$5&lt;=U$5-1)*$B$22:$Z$22)/Proj_Inputs!$B$23</f>
        <v>-32</v>
      </c>
      <c r="V16" s="145" cm="1">
        <f t="array" ref="V16">SUMPRODUCT(($B$5:$Z$5&gt;=V$5-Proj_Inputs!$B$23)*($B$5:$Z$5&lt;=V$5-1)*$B$22:$Z$22)/Proj_Inputs!$B$23</f>
        <v>-16</v>
      </c>
      <c r="W16" s="145" cm="1">
        <f t="array" ref="W16">SUMPRODUCT(($B$5:$Z$5&gt;=W$5-Proj_Inputs!$B$23)*($B$5:$Z$5&lt;=W$5-1)*$B$22:$Z$22)/Proj_Inputs!$B$23</f>
        <v>-4</v>
      </c>
      <c r="X16" s="145" cm="1">
        <f t="array" ref="X16">SUMPRODUCT(($B$5:$Z$5&gt;=X$5-Proj_Inputs!$B$23)*($B$5:$Z$5&lt;=X$5-1)*$B$22:$Z$22)/Proj_Inputs!$B$23</f>
        <v>0</v>
      </c>
      <c r="Y16" s="145" cm="1">
        <f t="array" ref="Y16">SUMPRODUCT(($B$5:$Z$5&gt;=Y$5-Proj_Inputs!$B$23)*($B$5:$Z$5&lt;=Y$5-1)*$B$22:$Z$22)/Proj_Inputs!$B$23</f>
        <v>0</v>
      </c>
      <c r="Z16" s="145" cm="1">
        <f t="array" ref="Z16">SUMPRODUCT(($B$5:$Z$5&gt;=Z$5-Proj_Inputs!$B$23)*($B$5:$Z$5&lt;=Z$5-1)*$B$22:$Z$22)/Proj_Inputs!$B$23</f>
        <v>0</v>
      </c>
      <c r="AA16" s="466" t="s">
        <v>426</v>
      </c>
      <c r="AB16" s="465"/>
      <c r="AC16" s="465"/>
      <c r="AD16" s="465"/>
      <c r="AE16" s="465"/>
      <c r="AF16" s="465"/>
      <c r="AG16" s="465"/>
    </row>
    <row r="17" spans="1:33" x14ac:dyDescent="0.2">
      <c r="A17" s="135" t="s">
        <v>427</v>
      </c>
      <c r="B17" s="145" cm="1">
        <f t="array" ref="B17">SUMPRODUCT(($B$5:$Z$5&gt;=B$5-Proj_Inputs!$B$23)*($B$5:$Z$5&lt;=B$5-1)*$B$23:$Z$23)/Proj_Inputs!$B$23</f>
        <v>0</v>
      </c>
      <c r="C17" s="145" cm="1">
        <f t="array" ref="C17">SUMPRODUCT(($B$5:$Z$5&gt;=C$5-Proj_Inputs!$B$23)*($B$5:$Z$5&lt;=C$5-1)*$B$23:$Z$23)/Proj_Inputs!$B$23</f>
        <v>0</v>
      </c>
      <c r="D17" s="145" cm="1">
        <f t="array" ref="D17">SUMPRODUCT(($B$5:$Z$5&gt;=D$5-Proj_Inputs!$B$23)*($B$5:$Z$5&lt;=D$5-1)*$B$23:$Z$23)/Proj_Inputs!$B$23</f>
        <v>-6.1799760000000002E-2</v>
      </c>
      <c r="E17" s="145" cm="1">
        <f t="array" ref="E17">SUMPRODUCT(($B$5:$Z$5&gt;=E$5-Proj_Inputs!$B$23)*($B$5:$Z$5&lt;=E$5-1)*$B$23:$Z$23)/Proj_Inputs!$B$23</f>
        <v>-0.2509070256</v>
      </c>
      <c r="F17" s="145" cm="1">
        <f t="array" ref="F17">SUMPRODUCT(($B$5:$Z$5&gt;=F$5-Proj_Inputs!$B$23)*($B$5:$Z$5&lt;=F$5-1)*$B$23:$Z$23)/Proj_Inputs!$B$23</f>
        <v>-0.62596976904000001</v>
      </c>
      <c r="G17" s="145" cm="1">
        <f t="array" ref="G17">SUMPRODUCT(($B$5:$Z$5&gt;=G$5-Proj_Inputs!$B$23)*($B$5:$Z$5&lt;=G$5-1)*$B$23:$Z$23)/Proj_Inputs!$B$23</f>
        <v>-1.2380721663340801</v>
      </c>
      <c r="H17" s="145" cm="1">
        <f t="array" ref="H17">SUMPRODUCT(($B$5:$Z$5&gt;=H$5-Proj_Inputs!$B$23)*($B$5:$Z$5&lt;=H$5-1)*$B$23:$Z$23)/Proj_Inputs!$B$23</f>
        <v>-2.1299928023911678</v>
      </c>
      <c r="I17" s="145" cm="1">
        <f t="array" ref="I17">SUMPRODUCT(($B$5:$Z$5&gt;=I$5-Proj_Inputs!$B$23)*($B$5:$Z$5&lt;=I$5-1)*$B$23:$Z$23)/Proj_Inputs!$B$23</f>
        <v>-3.2671916133639551</v>
      </c>
      <c r="J17" s="145" cm="1">
        <f t="array" ref="J17">SUMPRODUCT(($B$5:$Z$5&gt;=J$5-Proj_Inputs!$B$23)*($B$5:$Z$5&lt;=J$5-1)*$B$23:$Z$23)/Proj_Inputs!$B$23</f>
        <v>-4.5547281071473451</v>
      </c>
      <c r="K17" s="145" cm="1">
        <f t="array" ref="K17">SUMPRODUCT(($B$5:$Z$5&gt;=K$5-Proj_Inputs!$B$23)*($B$5:$Z$5&lt;=K$5-1)*$B$23:$Z$23)/Proj_Inputs!$B$23</f>
        <v>-5.8680153308064025</v>
      </c>
      <c r="L17" s="145" cm="1">
        <f t="array" ref="L17">SUMPRODUCT(($B$5:$Z$5&gt;=L$5-Proj_Inputs!$B$23)*($B$5:$Z$5&lt;=L$5-1)*$B$23:$Z$23)/Proj_Inputs!$B$23</f>
        <v>-7.2075682989386411</v>
      </c>
      <c r="M17" s="145" cm="1">
        <f t="array" ref="M17">SUMPRODUCT(($B$5:$Z$5&gt;=M$5-Proj_Inputs!$B$23)*($B$5:$Z$5&lt;=M$5-1)*$B$23:$Z$23)/Proj_Inputs!$B$23</f>
        <v>-8.5739123264335237</v>
      </c>
      <c r="N17" s="145" cm="1">
        <f t="array" ref="N17">SUMPRODUCT(($B$5:$Z$5&gt;=N$5-Proj_Inputs!$B$23)*($B$5:$Z$5&lt;=N$5-1)*$B$23:$Z$23)/Proj_Inputs!$B$23</f>
        <v>-9.9675832344783046</v>
      </c>
      <c r="O17" s="145" cm="1">
        <f t="array" ref="O17">SUMPRODUCT(($B$5:$Z$5&gt;=O$5-Proj_Inputs!$B$23)*($B$5:$Z$5&lt;=O$5-1)*$B$23:$Z$23)/Proj_Inputs!$B$23</f>
        <v>-11.389127560683983</v>
      </c>
      <c r="P17" s="145" cm="1">
        <f t="array" ref="P17">SUMPRODUCT(($B$5:$Z$5&gt;=P$5-Proj_Inputs!$B$23)*($B$5:$Z$5&lt;=P$5-1)*$B$23:$Z$23)/Proj_Inputs!$B$23</f>
        <v>-12.839102773413773</v>
      </c>
      <c r="Q17" s="145" cm="1">
        <f t="array" ref="Q17">SUMPRODUCT(($B$5:$Z$5&gt;=Q$5-Proj_Inputs!$B$23)*($B$5:$Z$5&lt;=Q$5-1)*$B$23:$Z$23)/Proj_Inputs!$B$23</f>
        <v>-14.318077490398158</v>
      </c>
      <c r="R17" s="145" cm="1">
        <f t="array" ref="R17">SUMPRODUCT(($B$5:$Z$5&gt;=R$5-Proj_Inputs!$B$23)*($B$5:$Z$5&lt;=R$5-1)*$B$23:$Z$23)/Proj_Inputs!$B$23</f>
        <v>-15.826631701722231</v>
      </c>
      <c r="S17" s="145" cm="1">
        <f t="array" ref="S17">SUMPRODUCT(($B$5:$Z$5&gt;=S$5-Proj_Inputs!$B$23)*($B$5:$Z$5&lt;=S$5-1)*$B$23:$Z$23)/Proj_Inputs!$B$23</f>
        <v>-17.303557237272788</v>
      </c>
      <c r="T17" s="145" cm="1">
        <f t="array" ref="T17">SUMPRODUCT(($B$5:$Z$5&gt;=T$5-Proj_Inputs!$B$23)*($B$5:$Z$5&lt;=T$5-1)*$B$23:$Z$23)/Proj_Inputs!$B$23</f>
        <v>-18.683949773134355</v>
      </c>
      <c r="U17" s="145" cm="1">
        <f t="array" ref="U17">SUMPRODUCT(($B$5:$Z$5&gt;=U$5-Proj_Inputs!$B$23)*($B$5:$Z$5&lt;=U$5-1)*$B$23:$Z$23)/Proj_Inputs!$B$23</f>
        <v>-19.909776827185151</v>
      </c>
      <c r="V17" s="145" cm="1">
        <f t="array" ref="V17">SUMPRODUCT(($B$5:$Z$5&gt;=V$5-Proj_Inputs!$B$23)*($B$5:$Z$5&lt;=V$5-1)*$B$23:$Z$23)/Proj_Inputs!$B$23</f>
        <v>-20.930582023331684</v>
      </c>
      <c r="W17" s="145" cm="1">
        <f t="array" ref="W17">SUMPRODUCT(($B$5:$Z$5&gt;=W$5-Proj_Inputs!$B$23)*($B$5:$Z$5&lt;=W$5-1)*$B$23:$Z$23)/Proj_Inputs!$B$23</f>
        <v>-21.70422713258402</v>
      </c>
      <c r="X17" s="145" cm="1">
        <f t="array" ref="X17">SUMPRODUCT(($B$5:$Z$5&gt;=X$5-Proj_Inputs!$B$23)*($B$5:$Z$5&lt;=X$5-1)*$B$23:$Z$23)/Proj_Inputs!$B$23</f>
        <v>-22.265905381826848</v>
      </c>
      <c r="Y17" s="145" cm="1">
        <f t="array" ref="Y17">SUMPRODUCT(($B$5:$Z$5&gt;=Y$5-Proj_Inputs!$B$23)*($B$5:$Z$5&lt;=Y$5-1)*$B$23:$Z$23)/Proj_Inputs!$B$23</f>
        <v>-22.711223489463386</v>
      </c>
      <c r="Z17" s="145" cm="1">
        <f t="array" ref="Z17">SUMPRODUCT(($B$5:$Z$5&gt;=Z$5-Proj_Inputs!$B$23)*($B$5:$Z$5&lt;=Z$5-1)*$B$23:$Z$23)/Proj_Inputs!$B$23</f>
        <v>-23.165447959252656</v>
      </c>
      <c r="AA17" s="464" t="s">
        <v>428</v>
      </c>
      <c r="AB17" s="419"/>
      <c r="AC17" s="419"/>
      <c r="AD17" s="419"/>
      <c r="AE17" s="419"/>
      <c r="AF17" s="419"/>
      <c r="AG17" s="465"/>
    </row>
    <row r="18" spans="1:33" x14ac:dyDescent="0.2">
      <c r="A18" s="362" t="s">
        <v>180</v>
      </c>
      <c r="B18" s="363">
        <f>B15+B16+B17</f>
        <v>0</v>
      </c>
      <c r="C18" s="363">
        <f t="shared" ref="C18:Z18" si="2">C15+C16+C17</f>
        <v>1.7880934412965868</v>
      </c>
      <c r="D18" s="363">
        <f t="shared" si="2"/>
        <v>9.8897661703675581</v>
      </c>
      <c r="E18" s="363">
        <f t="shared" si="2"/>
        <v>27.153032069628985</v>
      </c>
      <c r="F18" s="363">
        <f t="shared" si="2"/>
        <v>48.321258834373708</v>
      </c>
      <c r="G18" s="363">
        <f t="shared" si="2"/>
        <v>76.02788951292591</v>
      </c>
      <c r="H18" s="363">
        <f t="shared" si="2"/>
        <v>101.98410833866527</v>
      </c>
      <c r="I18" s="363">
        <f t="shared" si="2"/>
        <v>120.65799369854018</v>
      </c>
      <c r="J18" s="363">
        <f t="shared" si="2"/>
        <v>123.44896091099487</v>
      </c>
      <c r="K18" s="363">
        <f t="shared" si="2"/>
        <v>126.29574746769867</v>
      </c>
      <c r="L18" s="363">
        <f t="shared" si="2"/>
        <v>129.19946975553648</v>
      </c>
      <c r="M18" s="363">
        <f t="shared" si="2"/>
        <v>132.16126648913115</v>
      </c>
      <c r="N18" s="363">
        <f t="shared" si="2"/>
        <v>135.18229915739767</v>
      </c>
      <c r="O18" s="363">
        <f t="shared" si="2"/>
        <v>138.26375247902951</v>
      </c>
      <c r="P18" s="363">
        <f t="shared" si="2"/>
        <v>141.40683486709395</v>
      </c>
      <c r="Q18" s="363">
        <f t="shared" si="2"/>
        <v>144.6127789029197</v>
      </c>
      <c r="R18" s="363">
        <f t="shared" si="2"/>
        <v>155.88284181946204</v>
      </c>
      <c r="S18" s="363">
        <f t="shared" si="2"/>
        <v>171.28010575433515</v>
      </c>
      <c r="T18" s="363">
        <f t="shared" si="2"/>
        <v>186.87138647830571</v>
      </c>
      <c r="U18" s="363">
        <f t="shared" si="2"/>
        <v>206.71666614928378</v>
      </c>
      <c r="V18" s="363">
        <f t="shared" si="2"/>
        <v>226.86838981266658</v>
      </c>
      <c r="W18" s="363">
        <f t="shared" si="2"/>
        <v>243.37072414013423</v>
      </c>
      <c r="X18" s="363">
        <f t="shared" si="2"/>
        <v>252.19054491634571</v>
      </c>
      <c r="Y18" s="363">
        <f t="shared" si="2"/>
        <v>257.2343558146726</v>
      </c>
      <c r="Z18" s="364">
        <f t="shared" si="2"/>
        <v>262.37904293096608</v>
      </c>
      <c r="AA18" s="464" t="s">
        <v>429</v>
      </c>
      <c r="AB18" s="419"/>
      <c r="AC18" s="419"/>
      <c r="AD18" s="419"/>
      <c r="AE18" s="419"/>
      <c r="AF18" s="419"/>
      <c r="AG18" s="465"/>
    </row>
    <row r="19" spans="1:33" x14ac:dyDescent="0.2">
      <c r="A19" s="135" t="s">
        <v>181</v>
      </c>
      <c r="B19" s="145">
        <f>-B18*Proj_Inputs!$B$24</f>
        <v>0</v>
      </c>
      <c r="C19" s="145">
        <f>-C18*Proj_Inputs!$B$24</f>
        <v>-0.40482435510954723</v>
      </c>
      <c r="D19" s="145">
        <f>-D18*Proj_Inputs!$B$24</f>
        <v>-2.2390430609712149</v>
      </c>
      <c r="E19" s="145">
        <f>-E18*Proj_Inputs!$B$24</f>
        <v>-6.1474464605640016</v>
      </c>
      <c r="F19" s="145">
        <f>-F18*Proj_Inputs!$B$24</f>
        <v>-10.939933000102208</v>
      </c>
      <c r="G19" s="145">
        <f>-G18*Proj_Inputs!$B$24</f>
        <v>-17.212714185726426</v>
      </c>
      <c r="H19" s="145">
        <f>-H18*Proj_Inputs!$B$24</f>
        <v>-23.089202127873815</v>
      </c>
      <c r="I19" s="145">
        <f>-I18*Proj_Inputs!$B$24</f>
        <v>-27.316969773349495</v>
      </c>
      <c r="J19" s="145">
        <f>-J18*Proj_Inputs!$B$24</f>
        <v>-27.948844750249236</v>
      </c>
      <c r="K19" s="145">
        <f>-K18*Proj_Inputs!$B$24</f>
        <v>-28.59335722668698</v>
      </c>
      <c r="L19" s="145">
        <f>-L18*Proj_Inputs!$B$24</f>
        <v>-29.250759952653457</v>
      </c>
      <c r="M19" s="145">
        <f>-M18*Proj_Inputs!$B$24</f>
        <v>-29.92131073313929</v>
      </c>
      <c r="N19" s="145">
        <f>-N18*Proj_Inputs!$B$24</f>
        <v>-30.605272529234831</v>
      </c>
      <c r="O19" s="145">
        <f>-O18*Proj_Inputs!$B$24</f>
        <v>-31.302913561252279</v>
      </c>
      <c r="P19" s="145">
        <f>-P18*Proj_Inputs!$B$24</f>
        <v>-32.014507413910067</v>
      </c>
      <c r="Q19" s="145">
        <f>-Q18*Proj_Inputs!$B$24</f>
        <v>-32.740333143621015</v>
      </c>
      <c r="R19" s="145">
        <f>-R18*Proj_Inputs!$B$24</f>
        <v>-35.291875387926204</v>
      </c>
      <c r="S19" s="145">
        <f>-S18*Proj_Inputs!$B$24</f>
        <v>-38.77781594278148</v>
      </c>
      <c r="T19" s="145">
        <f>-T18*Proj_Inputs!$B$24</f>
        <v>-42.307681898688408</v>
      </c>
      <c r="U19" s="145">
        <f>-U18*Proj_Inputs!$B$24</f>
        <v>-46.800653216197844</v>
      </c>
      <c r="V19" s="145">
        <f>-V18*Proj_Inputs!$B$24</f>
        <v>-51.363003453587709</v>
      </c>
      <c r="W19" s="145">
        <f>-W18*Proj_Inputs!$B$24</f>
        <v>-55.099131945326384</v>
      </c>
      <c r="X19" s="145">
        <f>-X18*Proj_Inputs!$B$24</f>
        <v>-57.095939369060666</v>
      </c>
      <c r="Y19" s="145">
        <f>-Y18*Proj_Inputs!$B$24</f>
        <v>-58.237858156441874</v>
      </c>
      <c r="Z19" s="145">
        <f>-Z18*Proj_Inputs!$B$24</f>
        <v>-59.402615319570721</v>
      </c>
      <c r="AA19" s="466" t="s">
        <v>430</v>
      </c>
      <c r="AB19" s="465"/>
      <c r="AC19" s="465"/>
      <c r="AD19" s="465"/>
      <c r="AE19" s="465"/>
      <c r="AF19" s="465"/>
      <c r="AG19" s="465"/>
    </row>
    <row r="20" spans="1:33" x14ac:dyDescent="0.2">
      <c r="A20" s="135" t="s">
        <v>183</v>
      </c>
      <c r="B20" s="145">
        <f>-(B16+B17)</f>
        <v>0</v>
      </c>
      <c r="C20" s="145">
        <f t="shared" ref="C20:Z20" si="3">-(C16+C17)</f>
        <v>8</v>
      </c>
      <c r="D20" s="145">
        <f t="shared" si="3"/>
        <v>20.06179976</v>
      </c>
      <c r="E20" s="145">
        <f t="shared" si="3"/>
        <v>32.2509070256</v>
      </c>
      <c r="F20" s="145">
        <f t="shared" si="3"/>
        <v>48.625969769039997</v>
      </c>
      <c r="G20" s="145">
        <f t="shared" si="3"/>
        <v>65.238072166334078</v>
      </c>
      <c r="H20" s="145">
        <f t="shared" si="3"/>
        <v>78.129992802391172</v>
      </c>
      <c r="I20" s="145">
        <f t="shared" si="3"/>
        <v>83.267191613363948</v>
      </c>
      <c r="J20" s="145">
        <f t="shared" si="3"/>
        <v>84.554728107147341</v>
      </c>
      <c r="K20" s="145">
        <f t="shared" si="3"/>
        <v>85.868015330806401</v>
      </c>
      <c r="L20" s="145">
        <f t="shared" si="3"/>
        <v>87.207568298938639</v>
      </c>
      <c r="M20" s="145">
        <f t="shared" si="3"/>
        <v>88.573912326433529</v>
      </c>
      <c r="N20" s="145">
        <f t="shared" si="3"/>
        <v>89.967583234478298</v>
      </c>
      <c r="O20" s="145">
        <f t="shared" si="3"/>
        <v>91.389127560683988</v>
      </c>
      <c r="P20" s="145">
        <f t="shared" si="3"/>
        <v>92.839102773413771</v>
      </c>
      <c r="Q20" s="145">
        <f t="shared" si="3"/>
        <v>94.318077490398153</v>
      </c>
      <c r="R20" s="145">
        <f t="shared" si="3"/>
        <v>87.826631701722235</v>
      </c>
      <c r="S20" s="145">
        <f t="shared" si="3"/>
        <v>77.303557237272784</v>
      </c>
      <c r="T20" s="145">
        <f t="shared" si="3"/>
        <v>66.683949773134358</v>
      </c>
      <c r="U20" s="145">
        <f t="shared" si="3"/>
        <v>51.909776827185155</v>
      </c>
      <c r="V20" s="145">
        <f t="shared" si="3"/>
        <v>36.930582023331681</v>
      </c>
      <c r="W20" s="145">
        <f t="shared" si="3"/>
        <v>25.70422713258402</v>
      </c>
      <c r="X20" s="145">
        <f t="shared" si="3"/>
        <v>22.265905381826848</v>
      </c>
      <c r="Y20" s="145">
        <f t="shared" si="3"/>
        <v>22.711223489463386</v>
      </c>
      <c r="Z20" s="145">
        <f t="shared" si="3"/>
        <v>23.165447959252656</v>
      </c>
      <c r="AA20" s="464" t="s">
        <v>184</v>
      </c>
      <c r="AB20" s="419"/>
      <c r="AC20" s="419"/>
      <c r="AD20" s="419"/>
      <c r="AE20" s="419"/>
      <c r="AF20" s="419"/>
      <c r="AG20" s="465"/>
    </row>
    <row r="21" spans="1:33" x14ac:dyDescent="0.2">
      <c r="A21" s="365" t="s">
        <v>185</v>
      </c>
      <c r="B21" s="366">
        <f>B18+B19+B20</f>
        <v>0</v>
      </c>
      <c r="C21" s="366">
        <f t="shared" ref="C21:Z21" si="4">C18+C19+C20</f>
        <v>9.38326908618704</v>
      </c>
      <c r="D21" s="366">
        <f t="shared" si="4"/>
        <v>27.712522869396345</v>
      </c>
      <c r="E21" s="366">
        <f t="shared" si="4"/>
        <v>53.25649263466498</v>
      </c>
      <c r="F21" s="366">
        <f t="shared" si="4"/>
        <v>86.007295603311491</v>
      </c>
      <c r="G21" s="366">
        <f t="shared" si="4"/>
        <v>124.05324749353356</v>
      </c>
      <c r="H21" s="366">
        <f t="shared" si="4"/>
        <v>157.02489901318262</v>
      </c>
      <c r="I21" s="366">
        <f t="shared" si="4"/>
        <v>176.60821553855465</v>
      </c>
      <c r="J21" s="366">
        <f t="shared" si="4"/>
        <v>180.05484426789297</v>
      </c>
      <c r="K21" s="366">
        <f t="shared" si="4"/>
        <v>183.5704055718181</v>
      </c>
      <c r="L21" s="366">
        <f t="shared" si="4"/>
        <v>187.15627810182167</v>
      </c>
      <c r="M21" s="366">
        <f t="shared" si="4"/>
        <v>190.81386808242539</v>
      </c>
      <c r="N21" s="366">
        <f t="shared" si="4"/>
        <v>194.54460986264112</v>
      </c>
      <c r="O21" s="366">
        <f t="shared" si="4"/>
        <v>198.34996647846123</v>
      </c>
      <c r="P21" s="366">
        <f t="shared" si="4"/>
        <v>202.23143022659764</v>
      </c>
      <c r="Q21" s="366">
        <f t="shared" si="4"/>
        <v>206.19052324969684</v>
      </c>
      <c r="R21" s="366">
        <f t="shared" si="4"/>
        <v>208.41759813325808</v>
      </c>
      <c r="S21" s="366">
        <f t="shared" si="4"/>
        <v>209.80584704882648</v>
      </c>
      <c r="T21" s="366">
        <f t="shared" si="4"/>
        <v>211.24765435275168</v>
      </c>
      <c r="U21" s="366">
        <f t="shared" si="4"/>
        <v>211.82578976027111</v>
      </c>
      <c r="V21" s="366">
        <f t="shared" si="4"/>
        <v>212.43596838241055</v>
      </c>
      <c r="W21" s="366">
        <f t="shared" si="4"/>
        <v>213.97581932739186</v>
      </c>
      <c r="X21" s="366">
        <f t="shared" si="4"/>
        <v>217.36051092911191</v>
      </c>
      <c r="Y21" s="366">
        <f t="shared" si="4"/>
        <v>221.70772114769412</v>
      </c>
      <c r="Z21" s="367">
        <f t="shared" si="4"/>
        <v>226.14187557064801</v>
      </c>
      <c r="AA21" s="464" t="s">
        <v>186</v>
      </c>
      <c r="AB21" s="419"/>
      <c r="AC21" s="419"/>
      <c r="AD21" s="419"/>
      <c r="AE21" s="419"/>
      <c r="AF21" s="419"/>
      <c r="AG21" s="465"/>
    </row>
    <row r="22" spans="1:33" x14ac:dyDescent="0.2">
      <c r="A22" s="135" t="s">
        <v>431</v>
      </c>
      <c r="B22" s="145">
        <f>-Proj_Inputs!$B$6*B6</f>
        <v>-120</v>
      </c>
      <c r="C22" s="145">
        <f>-Proj_Inputs!$B$6*C6</f>
        <v>-180</v>
      </c>
      <c r="D22" s="145">
        <f>-Proj_Inputs!$B$6*D6</f>
        <v>-180</v>
      </c>
      <c r="E22" s="145">
        <f>-Proj_Inputs!$B$6*E6</f>
        <v>-240</v>
      </c>
      <c r="F22" s="145">
        <f>-Proj_Inputs!$B$6*F6</f>
        <v>-240</v>
      </c>
      <c r="G22" s="145">
        <f>-Proj_Inputs!$B$6*G6</f>
        <v>-180</v>
      </c>
      <c r="H22" s="145">
        <f>-Proj_Inputs!$B$6*H6</f>
        <v>-60</v>
      </c>
      <c r="I22" s="145">
        <f>-Proj_Inputs!$B$6*I6</f>
        <v>0</v>
      </c>
      <c r="J22" s="145">
        <f>-Proj_Inputs!$B$6*J6</f>
        <v>0</v>
      </c>
      <c r="K22" s="145">
        <f>-Proj_Inputs!$B$6*K6</f>
        <v>0</v>
      </c>
      <c r="L22" s="145">
        <f>-Proj_Inputs!$B$6*L6</f>
        <v>0</v>
      </c>
      <c r="M22" s="145">
        <f>-Proj_Inputs!$B$6*M6</f>
        <v>0</v>
      </c>
      <c r="N22" s="145">
        <f>-Proj_Inputs!$B$6*N6</f>
        <v>0</v>
      </c>
      <c r="O22" s="145">
        <f>-Proj_Inputs!$B$6*O6</f>
        <v>0</v>
      </c>
      <c r="P22" s="145">
        <f>-Proj_Inputs!$B$6*P6</f>
        <v>0</v>
      </c>
      <c r="Q22" s="145">
        <f>-Proj_Inputs!$B$6*Q6</f>
        <v>0</v>
      </c>
      <c r="R22" s="145">
        <f>-Proj_Inputs!$B$6*R6</f>
        <v>0</v>
      </c>
      <c r="S22" s="145">
        <f>-Proj_Inputs!$B$6*S6</f>
        <v>0</v>
      </c>
      <c r="T22" s="145">
        <f>-Proj_Inputs!$B$6*T6</f>
        <v>0</v>
      </c>
      <c r="U22" s="145">
        <f>-Proj_Inputs!$B$6*U6</f>
        <v>0</v>
      </c>
      <c r="V22" s="145">
        <f>-Proj_Inputs!$B$6*V6</f>
        <v>0</v>
      </c>
      <c r="W22" s="145">
        <f>-Proj_Inputs!$B$6*W6</f>
        <v>0</v>
      </c>
      <c r="X22" s="145">
        <f>-Proj_Inputs!$B$6*X6</f>
        <v>0</v>
      </c>
      <c r="Y22" s="145">
        <f>-Proj_Inputs!$B$6*Y6</f>
        <v>0</v>
      </c>
      <c r="Z22" s="145">
        <f>-Proj_Inputs!$B$6*Z6</f>
        <v>0</v>
      </c>
      <c r="AA22" s="466" t="s">
        <v>432</v>
      </c>
      <c r="AB22" s="465"/>
      <c r="AC22" s="465"/>
      <c r="AD22" s="465"/>
      <c r="AE22" s="465"/>
      <c r="AF22" s="465"/>
      <c r="AG22" s="465"/>
    </row>
    <row r="23" spans="1:33" x14ac:dyDescent="0.2">
      <c r="A23" s="135" t="s">
        <v>433</v>
      </c>
      <c r="B23" s="145">
        <f>-B14*Proj_Inputs!$B$22</f>
        <v>0</v>
      </c>
      <c r="C23" s="145">
        <f>-C14*Proj_Inputs!$B$22</f>
        <v>-0.92699640000000005</v>
      </c>
      <c r="D23" s="145">
        <f>-D14*Proj_Inputs!$B$22</f>
        <v>-2.8366089840000002</v>
      </c>
      <c r="E23" s="145">
        <f>-E14*Proj_Inputs!$B$22</f>
        <v>-5.6259411516000002</v>
      </c>
      <c r="F23" s="145">
        <f>-F14*Proj_Inputs!$B$22</f>
        <v>-9.1815359594111996</v>
      </c>
      <c r="G23" s="145">
        <f>-G14*Proj_Inputs!$B$22</f>
        <v>-13.378809540856322</v>
      </c>
      <c r="H23" s="145">
        <f>-H14*Proj_Inputs!$B$22</f>
        <v>-17.057982164591806</v>
      </c>
      <c r="I23" s="145">
        <f>-I14*Proj_Inputs!$B$22</f>
        <v>-19.313047406750847</v>
      </c>
      <c r="J23" s="145">
        <f>-J14*Proj_Inputs!$B$22</f>
        <v>-19.699308354885861</v>
      </c>
      <c r="K23" s="145">
        <f>-K14*Proj_Inputs!$B$22</f>
        <v>-20.09329452198358</v>
      </c>
      <c r="L23" s="145">
        <f>-L14*Proj_Inputs!$B$22</f>
        <v>-20.495160412423246</v>
      </c>
      <c r="M23" s="145">
        <f>-M14*Proj_Inputs!$B$22</f>
        <v>-20.905063620671719</v>
      </c>
      <c r="N23" s="145">
        <f>-N14*Proj_Inputs!$B$22</f>
        <v>-21.323164893085149</v>
      </c>
      <c r="O23" s="145">
        <f>-O14*Proj_Inputs!$B$22</f>
        <v>-21.749628190946854</v>
      </c>
      <c r="P23" s="145">
        <f>-P14*Proj_Inputs!$B$22</f>
        <v>-22.184620754765788</v>
      </c>
      <c r="Q23" s="145">
        <f>-Q14*Proj_Inputs!$B$22</f>
        <v>-22.628313169861105</v>
      </c>
      <c r="R23" s="145">
        <f>-R14*Proj_Inputs!$B$22</f>
        <v>-23.080879433258328</v>
      </c>
      <c r="S23" s="145">
        <f>-S14*Proj_Inputs!$B$22</f>
        <v>-23.542497021923495</v>
      </c>
      <c r="T23" s="145">
        <f>-T14*Proj_Inputs!$B$22</f>
        <v>-24.013346962361961</v>
      </c>
      <c r="U23" s="145">
        <f>-U14*Proj_Inputs!$B$22</f>
        <v>-24.493613901609205</v>
      </c>
      <c r="V23" s="145">
        <f>-V14*Proj_Inputs!$B$22</f>
        <v>-24.983486179641385</v>
      </c>
      <c r="W23" s="145">
        <f>-W14*Proj_Inputs!$B$22</f>
        <v>-25.483155903234216</v>
      </c>
      <c r="X23" s="145">
        <f>-X14*Proj_Inputs!$B$22</f>
        <v>-25.992819021298896</v>
      </c>
      <c r="Y23" s="145">
        <f>-Y14*Proj_Inputs!$B$22</f>
        <v>-26.512675401724874</v>
      </c>
      <c r="Z23" s="145">
        <f>-Z14*Proj_Inputs!$B$22</f>
        <v>-27.042928909759372</v>
      </c>
      <c r="AA23" s="466" t="s">
        <v>434</v>
      </c>
      <c r="AB23" s="465"/>
      <c r="AC23" s="465"/>
      <c r="AD23" s="465"/>
      <c r="AE23" s="465"/>
      <c r="AF23" s="465"/>
      <c r="AG23" s="465"/>
    </row>
    <row r="24" spans="1:33" x14ac:dyDescent="0.2">
      <c r="A24" s="135" t="s">
        <v>101</v>
      </c>
      <c r="B24" s="145">
        <f>B14*Proj_Inputs!$B$25</f>
        <v>0</v>
      </c>
      <c r="C24" s="145">
        <f>C14*Proj_Inputs!$B$25</f>
        <v>6.1621166963222201E-2</v>
      </c>
      <c r="D24" s="145">
        <f>D14*Proj_Inputs!$B$25</f>
        <v>0.18856077090745993</v>
      </c>
      <c r="E24" s="145">
        <f>E14*Proj_Inputs!$B$25</f>
        <v>0.37397886229979549</v>
      </c>
      <c r="F24" s="145">
        <f>F14*Proj_Inputs!$B$25</f>
        <v>0.6103335032732663</v>
      </c>
      <c r="G24" s="145">
        <f>G14*Proj_Inputs!$B$25</f>
        <v>0.88934310476961664</v>
      </c>
      <c r="H24" s="145">
        <f>H14*Proj_Inputs!$B$25</f>
        <v>1.133912458581261</v>
      </c>
      <c r="I24" s="145">
        <f>I14*Proj_Inputs!$B$25</f>
        <v>1.2838156856057039</v>
      </c>
      <c r="J24" s="145">
        <f>J14*Proj_Inputs!$B$25</f>
        <v>1.3094919993178178</v>
      </c>
      <c r="K24" s="145">
        <f>K14*Proj_Inputs!$B$25</f>
        <v>1.3356818393041743</v>
      </c>
      <c r="L24" s="145">
        <f>L14*Proj_Inputs!$B$25</f>
        <v>1.3623954760902575</v>
      </c>
      <c r="M24" s="145">
        <f>M14*Proj_Inputs!$B$25</f>
        <v>1.3896433856120631</v>
      </c>
      <c r="N24" s="145">
        <f>N14*Proj_Inputs!$B$25</f>
        <v>1.4174362533243041</v>
      </c>
      <c r="O24" s="145">
        <f>O14*Proj_Inputs!$B$25</f>
        <v>1.4457849783907903</v>
      </c>
      <c r="P24" s="145">
        <f>P14*Proj_Inputs!$B$25</f>
        <v>1.4747006779586058</v>
      </c>
      <c r="Q24" s="145">
        <f>Q14*Proj_Inputs!$B$25</f>
        <v>1.504194691517778</v>
      </c>
      <c r="R24" s="145">
        <f>R14*Proj_Inputs!$B$25</f>
        <v>1.5342785853481338</v>
      </c>
      <c r="S24" s="145">
        <f>S14*Proj_Inputs!$B$25</f>
        <v>1.5649641570550965</v>
      </c>
      <c r="T24" s="145">
        <f>T14*Proj_Inputs!$B$25</f>
        <v>1.5962634401961981</v>
      </c>
      <c r="U24" s="145">
        <f>U14*Proj_Inputs!$B$25</f>
        <v>1.6281887090001224</v>
      </c>
      <c r="V24" s="145">
        <f>V14*Proj_Inputs!$B$25</f>
        <v>1.6607524831801246</v>
      </c>
      <c r="W24" s="145">
        <f>W14*Proj_Inputs!$B$25</f>
        <v>1.6939675328437271</v>
      </c>
      <c r="X24" s="145">
        <f>X14*Proj_Inputs!$B$25</f>
        <v>1.7278468835006016</v>
      </c>
      <c r="Y24" s="145">
        <f>Y14*Proj_Inputs!$B$25</f>
        <v>1.7624038211706134</v>
      </c>
      <c r="Z24" s="145">
        <f>Z14*Proj_Inputs!$B$25</f>
        <v>1.7976518975940259</v>
      </c>
      <c r="AA24" s="466" t="s">
        <v>435</v>
      </c>
      <c r="AB24" s="465"/>
      <c r="AC24" s="465"/>
      <c r="AD24" s="465"/>
      <c r="AE24" s="465"/>
      <c r="AF24" s="465"/>
      <c r="AG24" s="465"/>
    </row>
    <row r="25" spans="1:33" x14ac:dyDescent="0.2">
      <c r="A25" s="135" t="s">
        <v>189</v>
      </c>
      <c r="B25" s="145">
        <f>-B24</f>
        <v>0</v>
      </c>
      <c r="C25" s="145">
        <f>-(C24-B24)</f>
        <v>-6.1621166963222201E-2</v>
      </c>
      <c r="D25" s="145">
        <f t="shared" ref="D25:Y25" si="5">-(D24-C24)</f>
        <v>-0.12693960394423773</v>
      </c>
      <c r="E25" s="145">
        <f t="shared" si="5"/>
        <v>-0.18541809139233556</v>
      </c>
      <c r="F25" s="145">
        <f t="shared" si="5"/>
        <v>-0.23635464097347081</v>
      </c>
      <c r="G25" s="145">
        <f t="shared" si="5"/>
        <v>-0.27900960149635035</v>
      </c>
      <c r="H25" s="145">
        <f t="shared" si="5"/>
        <v>-0.24456935381164435</v>
      </c>
      <c r="I25" s="145">
        <f t="shared" si="5"/>
        <v>-0.14990322702444292</v>
      </c>
      <c r="J25" s="145">
        <f t="shared" si="5"/>
        <v>-2.5676313712113874E-2</v>
      </c>
      <c r="K25" s="145">
        <f t="shared" si="5"/>
        <v>-2.6189839986356489E-2</v>
      </c>
      <c r="L25" s="145">
        <f t="shared" si="5"/>
        <v>-2.6713636786083184E-2</v>
      </c>
      <c r="M25" s="145">
        <f t="shared" si="5"/>
        <v>-2.7247909521805669E-2</v>
      </c>
      <c r="N25" s="145">
        <f t="shared" si="5"/>
        <v>-2.7792867712240987E-2</v>
      </c>
      <c r="O25" s="145">
        <f t="shared" si="5"/>
        <v>-2.8348725066486224E-2</v>
      </c>
      <c r="P25" s="145">
        <f t="shared" si="5"/>
        <v>-2.8915699567815478E-2</v>
      </c>
      <c r="Q25" s="145">
        <f t="shared" si="5"/>
        <v>-2.9494013559172139E-2</v>
      </c>
      <c r="R25" s="145">
        <f t="shared" si="5"/>
        <v>-3.0083893830355812E-2</v>
      </c>
      <c r="S25" s="145">
        <f t="shared" si="5"/>
        <v>-3.0685571706962733E-2</v>
      </c>
      <c r="T25" s="145">
        <f t="shared" si="5"/>
        <v>-3.1299283141101641E-2</v>
      </c>
      <c r="U25" s="145">
        <f t="shared" si="5"/>
        <v>-3.1925268803924212E-2</v>
      </c>
      <c r="V25" s="145">
        <f t="shared" si="5"/>
        <v>-3.2563774180002225E-2</v>
      </c>
      <c r="W25" s="145">
        <f t="shared" si="5"/>
        <v>-3.3215049663602558E-2</v>
      </c>
      <c r="X25" s="145">
        <f t="shared" si="5"/>
        <v>-3.3879350656874418E-2</v>
      </c>
      <c r="Y25" s="145">
        <f t="shared" si="5"/>
        <v>-3.4556937670011889E-2</v>
      </c>
      <c r="Z25" s="145">
        <f>-(Z24-Y24)</f>
        <v>-3.5248076423412433E-2</v>
      </c>
      <c r="AA25" s="466" t="s">
        <v>436</v>
      </c>
      <c r="AB25" s="465"/>
      <c r="AC25" s="465"/>
      <c r="AD25" s="465"/>
      <c r="AE25" s="465"/>
      <c r="AF25" s="465"/>
      <c r="AG25" s="465"/>
    </row>
    <row r="26" spans="1:33" x14ac:dyDescent="0.2">
      <c r="A26" s="135" t="s">
        <v>437</v>
      </c>
      <c r="B26" s="145">
        <f>IF(B$5=Proj_Inputs!$B$27,B24-SUM($B$22:$Z$22)-SUM($B$23:$Z$23)+SUM($B$16:$Z$16)+SUM($B$17:$Z$17),0)</f>
        <v>0</v>
      </c>
      <c r="C26" s="145">
        <f>IF(C$5=Proj_Inputs!$B$27,C24-SUM($B$22:$Z$22)-SUM($B$23:$Z$23)+SUM($B$16:$Z$16)+SUM($B$17:$Z$17),0)</f>
        <v>0</v>
      </c>
      <c r="D26" s="145">
        <f>IF(D$5=Proj_Inputs!$B$27,D24-SUM($B$22:$Z$22)-SUM($B$23:$Z$23)+SUM($B$16:$Z$16)+SUM($B$17:$Z$17),0)</f>
        <v>0</v>
      </c>
      <c r="E26" s="145">
        <f>IF(E$5=Proj_Inputs!$B$27,E24-SUM($B$22:$Z$22)-SUM($B$23:$Z$23)+SUM($B$16:$Z$16)+SUM($B$17:$Z$17),0)</f>
        <v>0</v>
      </c>
      <c r="F26" s="145">
        <f>IF(F$5=Proj_Inputs!$B$27,F24-SUM($B$22:$Z$22)-SUM($B$23:$Z$23)+SUM($B$16:$Z$16)+SUM($B$17:$Z$17),0)</f>
        <v>0</v>
      </c>
      <c r="G26" s="145">
        <f>IF(G$5=Proj_Inputs!$B$27,G24-SUM($B$22:$Z$22)-SUM($B$23:$Z$23)+SUM($B$16:$Z$16)+SUM($B$17:$Z$17),0)</f>
        <v>0</v>
      </c>
      <c r="H26" s="145">
        <f>IF(H$5=Proj_Inputs!$B$27,H24-SUM($B$22:$Z$22)-SUM($B$23:$Z$23)+SUM($B$16:$Z$16)+SUM($B$17:$Z$17),0)</f>
        <v>0</v>
      </c>
      <c r="I26" s="145">
        <f>IF(I$5=Proj_Inputs!$B$27,I24-SUM($B$22:$Z$22)-SUM($B$23:$Z$23)+SUM($B$16:$Z$16)+SUM($B$17:$Z$17),0)</f>
        <v>0</v>
      </c>
      <c r="J26" s="145">
        <f>IF(J$5=Proj_Inputs!$B$27,J24-SUM($B$22:$Z$22)-SUM($B$23:$Z$23)+SUM($B$16:$Z$16)+SUM($B$17:$Z$17),0)</f>
        <v>0</v>
      </c>
      <c r="K26" s="145">
        <f>IF(K$5=Proj_Inputs!$B$27,K24-SUM($B$22:$Z$22)-SUM($B$23:$Z$23)+SUM($B$16:$Z$16)+SUM($B$17:$Z$17),0)</f>
        <v>0</v>
      </c>
      <c r="L26" s="145">
        <f>IF(L$5=Proj_Inputs!$B$27,L24-SUM($B$22:$Z$22)-SUM($B$23:$Z$23)+SUM($B$16:$Z$16)+SUM($B$17:$Z$17),0)</f>
        <v>0</v>
      </c>
      <c r="M26" s="145">
        <f>IF(M$5=Proj_Inputs!$B$27,M24-SUM($B$22:$Z$22)-SUM($B$23:$Z$23)+SUM($B$16:$Z$16)+SUM($B$17:$Z$17),0)</f>
        <v>0</v>
      </c>
      <c r="N26" s="145">
        <f>IF(N$5=Proj_Inputs!$B$27,N24-SUM($B$22:$Z$22)-SUM($B$23:$Z$23)+SUM($B$16:$Z$16)+SUM($B$17:$Z$17),0)</f>
        <v>0</v>
      </c>
      <c r="O26" s="145">
        <f>IF(O$5=Proj_Inputs!$B$27,O24-SUM($B$22:$Z$22)-SUM($B$23:$Z$23)+SUM($B$16:$Z$16)+SUM($B$17:$Z$17),0)</f>
        <v>0</v>
      </c>
      <c r="P26" s="145">
        <f>IF(P$5=Proj_Inputs!$B$27,P24-SUM($B$22:$Z$22)-SUM($B$23:$Z$23)+SUM($B$16:$Z$16)+SUM($B$17:$Z$17),0)</f>
        <v>0</v>
      </c>
      <c r="Q26" s="145">
        <f>IF(Q$5=Proj_Inputs!$B$27,Q24-SUM($B$22:$Z$22)-SUM($B$23:$Z$23)+SUM($B$16:$Z$16)+SUM($B$17:$Z$17),0)</f>
        <v>0</v>
      </c>
      <c r="R26" s="145">
        <f>IF(R$5=Proj_Inputs!$B$27,R24-SUM($B$22:$Z$22)-SUM($B$23:$Z$23)+SUM($B$16:$Z$16)+SUM($B$17:$Z$17),0)</f>
        <v>0</v>
      </c>
      <c r="S26" s="145">
        <f>IF(S$5=Proj_Inputs!$B$27,S24-SUM($B$22:$Z$22)-SUM($B$23:$Z$23)+SUM($B$16:$Z$16)+SUM($B$17:$Z$17),0)</f>
        <v>0</v>
      </c>
      <c r="T26" s="145">
        <f>IF(T$5=Proj_Inputs!$B$27,T24-SUM($B$22:$Z$22)-SUM($B$23:$Z$23)+SUM($B$16:$Z$16)+SUM($B$17:$Z$17),0)</f>
        <v>0</v>
      </c>
      <c r="U26" s="145">
        <f>IF(U$5=Proj_Inputs!$B$27,U24-SUM($B$22:$Z$22)-SUM($B$23:$Z$23)+SUM($B$16:$Z$16)+SUM($B$17:$Z$17),0)</f>
        <v>0</v>
      </c>
      <c r="V26" s="145">
        <f>IF(V$5=Proj_Inputs!$B$27,V24-SUM($B$22:$Z$22)-SUM($B$23:$Z$23)+SUM($B$16:$Z$16)+SUM($B$17:$Z$17),0)</f>
        <v>0</v>
      </c>
      <c r="W26" s="145">
        <f>IF(W$5=Proj_Inputs!$B$27,W24-SUM($B$22:$Z$22)-SUM($B$23:$Z$23)+SUM($B$16:$Z$16)+SUM($B$17:$Z$17),0)</f>
        <v>0</v>
      </c>
      <c r="X26" s="145">
        <f>IF(X$5=Proj_Inputs!$B$27,X24-SUM($B$22:$Z$22)-SUM($B$23:$Z$23)+SUM($B$16:$Z$16)+SUM($B$17:$Z$17),0)</f>
        <v>0</v>
      </c>
      <c r="Y26" s="145">
        <f>IF(Y$5=Proj_Inputs!$B$27,Y24-SUM($B$22:$Z$22)-SUM($B$23:$Z$23)+SUM($B$16:$Z$16)+SUM($B$17:$Z$17),0)</f>
        <v>0</v>
      </c>
      <c r="Z26" s="145">
        <f>IF(Z$5=Proj_Inputs!$B$27,Z24-SUM($B$22:$Z$22)-SUM($B$23:$Z$23)+SUM($B$16:$Z$16)+SUM($B$17:$Z$17),0)</f>
        <v>199.5491803734368</v>
      </c>
      <c r="AA26" s="464" t="s">
        <v>438</v>
      </c>
      <c r="AB26" s="419"/>
      <c r="AC26" s="419"/>
      <c r="AD26" s="419"/>
      <c r="AE26" s="419"/>
      <c r="AF26" s="419"/>
      <c r="AG26" s="465"/>
    </row>
    <row r="27" spans="1:33" x14ac:dyDescent="0.2">
      <c r="A27" s="365" t="s">
        <v>175</v>
      </c>
      <c r="B27" s="366">
        <f>B21+B22+B23+B25+B26</f>
        <v>-120</v>
      </c>
      <c r="C27" s="366">
        <f t="shared" ref="C27:Z27" si="6">C21+C22+C23+C25+C26</f>
        <v>-171.6053484807762</v>
      </c>
      <c r="D27" s="366">
        <f t="shared" si="6"/>
        <v>-155.25102571854791</v>
      </c>
      <c r="E27" s="366">
        <f t="shared" si="6"/>
        <v>-192.55486660832733</v>
      </c>
      <c r="F27" s="366">
        <f t="shared" si="6"/>
        <v>-163.41059499707319</v>
      </c>
      <c r="G27" s="366">
        <f t="shared" si="6"/>
        <v>-69.604571648819118</v>
      </c>
      <c r="H27" s="366">
        <f t="shared" si="6"/>
        <v>79.722347494779171</v>
      </c>
      <c r="I27" s="366">
        <f t="shared" si="6"/>
        <v>157.14526490477934</v>
      </c>
      <c r="J27" s="366">
        <f t="shared" si="6"/>
        <v>160.32985959929499</v>
      </c>
      <c r="K27" s="366">
        <f t="shared" si="6"/>
        <v>163.45092120984816</v>
      </c>
      <c r="L27" s="366">
        <f t="shared" si="6"/>
        <v>166.63440405261235</v>
      </c>
      <c r="M27" s="366">
        <f t="shared" si="6"/>
        <v>169.88155655223187</v>
      </c>
      <c r="N27" s="366">
        <f t="shared" si="6"/>
        <v>173.19365210184375</v>
      </c>
      <c r="O27" s="366">
        <f t="shared" si="6"/>
        <v>176.5719895624479</v>
      </c>
      <c r="P27" s="366">
        <f t="shared" si="6"/>
        <v>180.01789377226405</v>
      </c>
      <c r="Q27" s="366">
        <f t="shared" si="6"/>
        <v>183.53271606627655</v>
      </c>
      <c r="R27" s="366">
        <f t="shared" si="6"/>
        <v>185.3066348061694</v>
      </c>
      <c r="S27" s="366">
        <f t="shared" si="6"/>
        <v>186.23266445519602</v>
      </c>
      <c r="T27" s="366">
        <f t="shared" si="6"/>
        <v>187.20300810724862</v>
      </c>
      <c r="U27" s="366">
        <f t="shared" si="6"/>
        <v>187.300250589858</v>
      </c>
      <c r="V27" s="366">
        <f t="shared" si="6"/>
        <v>187.41991842858917</v>
      </c>
      <c r="W27" s="366">
        <f t="shared" si="6"/>
        <v>188.45944837449406</v>
      </c>
      <c r="X27" s="366">
        <f t="shared" si="6"/>
        <v>191.33381255715616</v>
      </c>
      <c r="Y27" s="366">
        <f t="shared" si="6"/>
        <v>195.16048880829925</v>
      </c>
      <c r="Z27" s="367">
        <f t="shared" si="6"/>
        <v>398.61287895790201</v>
      </c>
      <c r="AA27" s="464" t="s">
        <v>439</v>
      </c>
      <c r="AB27" s="419"/>
      <c r="AC27" s="419"/>
      <c r="AD27" s="419"/>
      <c r="AE27" s="419"/>
      <c r="AF27" s="419"/>
      <c r="AG27" s="465"/>
    </row>
    <row r="28" spans="1:33" x14ac:dyDescent="0.2">
      <c r="A28" s="135" t="s">
        <v>191</v>
      </c>
      <c r="B28" s="168">
        <f>1/(1+Proj_Inputs!$B$26)^B$5</f>
        <v>0.92929903817502468</v>
      </c>
      <c r="C28" s="168">
        <f>1/(1+Proj_Inputs!$B$26)^C$5</f>
        <v>0.86359670235302599</v>
      </c>
      <c r="D28" s="168">
        <f>1/(1+Proj_Inputs!$B$26)^D$5</f>
        <v>0.80253958486778998</v>
      </c>
      <c r="E28" s="168">
        <f>1/(1+Proj_Inputs!$B$26)^E$5</f>
        <v>0.74579926431502086</v>
      </c>
      <c r="F28" s="168">
        <f>1/(1+Proj_Inputs!$B$26)^F$5</f>
        <v>0.69307053899958981</v>
      </c>
      <c r="G28" s="168">
        <f>1/(1+Proj_Inputs!$B$26)^G$5</f>
        <v>0.64406978527976477</v>
      </c>
      <c r="H28" s="168">
        <f>1/(1+Proj_Inputs!$B$26)^H$5</f>
        <v>0.59853343197807996</v>
      </c>
      <c r="I28" s="168">
        <f>1/(1+Proj_Inputs!$B$26)^I$5</f>
        <v>0.55621654265282627</v>
      </c>
      <c r="J28" s="168">
        <f>1/(1+Proj_Inputs!$B$26)^J$5</f>
        <v>0.51689149810430901</v>
      </c>
      <c r="K28" s="168">
        <f>1/(1+Proj_Inputs!$B$26)^K$5</f>
        <v>0.48034677202918202</v>
      </c>
      <c r="L28" s="168">
        <f>1/(1+Proj_Inputs!$B$26)^L$5</f>
        <v>0.44638579323719657</v>
      </c>
      <c r="M28" s="168">
        <f>1/(1+Proj_Inputs!$B$26)^M$5</f>
        <v>0.41482588831032224</v>
      </c>
      <c r="N28" s="168">
        <f>1/(1+Proj_Inputs!$B$26)^N$5</f>
        <v>0.38549729901688268</v>
      </c>
      <c r="O28" s="168">
        <f>1/(1+Proj_Inputs!$B$26)^O$5</f>
        <v>0.35824226919545898</v>
      </c>
      <c r="P28" s="168">
        <f>1/(1+Proj_Inputs!$B$26)^P$5</f>
        <v>0.33291419619697821</v>
      </c>
      <c r="Q28" s="168">
        <f>1/(1+Proj_Inputs!$B$26)^Q$5</f>
        <v>0.30937684232066331</v>
      </c>
      <c r="R28" s="168">
        <f>1/(1+Proj_Inputs!$B$26)^R$5</f>
        <v>0.28750360200221869</v>
      </c>
      <c r="S28" s="168">
        <f>1/(1+Proj_Inputs!$B$26)^S$5</f>
        <v>0.26717682081251692</v>
      </c>
      <c r="T28" s="168">
        <f>1/(1+Proj_Inputs!$B$26)^T$5</f>
        <v>0.2482871626037329</v>
      </c>
      <c r="U28" s="168">
        <f>1/(1+Proj_Inputs!$B$26)^U$5</f>
        <v>0.2307330213988549</v>
      </c>
      <c r="V28" s="168">
        <f>1/(1+Proj_Inputs!$B$26)^V$5</f>
        <v>0.21441997486117326</v>
      </c>
      <c r="W28" s="168">
        <f>1/(1+Proj_Inputs!$B$26)^W$5</f>
        <v>0.19926027640400126</v>
      </c>
      <c r="X28" s="168">
        <f>1/(1+Proj_Inputs!$B$26)^X$5</f>
        <v>0.18517238320872792</v>
      </c>
      <c r="Y28" s="168">
        <f>1/(1+Proj_Inputs!$B$26)^Y$5</f>
        <v>0.17208051761244794</v>
      </c>
      <c r="Z28" s="168">
        <f>1/(1+Proj_Inputs!$B$26)^Z$5</f>
        <v>0.15991425950590824</v>
      </c>
      <c r="AA28" s="464" t="s">
        <v>192</v>
      </c>
      <c r="AB28" s="419"/>
      <c r="AC28" s="419"/>
      <c r="AD28" s="419"/>
      <c r="AE28" s="419"/>
      <c r="AF28" s="419"/>
      <c r="AG28" s="465"/>
    </row>
    <row r="29" spans="1:33" x14ac:dyDescent="0.2">
      <c r="A29" s="368" t="s">
        <v>193</v>
      </c>
      <c r="B29" s="369">
        <f>B27*B28</f>
        <v>-111.51588458100296</v>
      </c>
      <c r="C29" s="369">
        <f t="shared" ref="C29:Z29" si="7">C27*C28</f>
        <v>-148.1978130541402</v>
      </c>
      <c r="D29" s="369">
        <f t="shared" si="7"/>
        <v>-124.59509373046203</v>
      </c>
      <c r="E29" s="369">
        <f t="shared" si="7"/>
        <v>-143.6072778567675</v>
      </c>
      <c r="F29" s="369">
        <f t="shared" si="7"/>
        <v>-113.25506915286519</v>
      </c>
      <c r="G29" s="369">
        <f t="shared" si="7"/>
        <v>-44.830201516344928</v>
      </c>
      <c r="H29" s="369">
        <f t="shared" si="7"/>
        <v>47.716490251399264</v>
      </c>
      <c r="I29" s="369">
        <f t="shared" si="7"/>
        <v>87.406795939598879</v>
      </c>
      <c r="J29" s="369">
        <f t="shared" si="7"/>
        <v>82.873141319133111</v>
      </c>
      <c r="K29" s="369">
        <f t="shared" si="7"/>
        <v>78.51312238834673</v>
      </c>
      <c r="L29" s="369">
        <f t="shared" si="7"/>
        <v>74.383230633632891</v>
      </c>
      <c r="M29" s="369">
        <f t="shared" si="7"/>
        <v>70.471267604319834</v>
      </c>
      <c r="N29" s="369">
        <f t="shared" si="7"/>
        <v>66.765685092130411</v>
      </c>
      <c r="O29" s="369">
        <f t="shared" si="7"/>
        <v>63.255550217208231</v>
      </c>
      <c r="P29" s="369">
        <f t="shared" si="7"/>
        <v>59.930512406266295</v>
      </c>
      <c r="Q29" s="369">
        <f t="shared" si="7"/>
        <v>56.780772159119508</v>
      </c>
      <c r="R29" s="369">
        <f t="shared" si="7"/>
        <v>53.276324981683416</v>
      </c>
      <c r="S29" s="369">
        <f t="shared" si="7"/>
        <v>49.757051220583499</v>
      </c>
      <c r="T29" s="369">
        <f t="shared" si="7"/>
        <v>46.480103713832371</v>
      </c>
      <c r="U29" s="369">
        <f t="shared" si="7"/>
        <v>43.216352727360594</v>
      </c>
      <c r="V29" s="369">
        <f t="shared" si="7"/>
        <v>40.186574197941233</v>
      </c>
      <c r="W29" s="369">
        <f t="shared" si="7"/>
        <v>37.552481774047294</v>
      </c>
      <c r="X29" s="369">
        <f t="shared" si="7"/>
        <v>35.429738059620639</v>
      </c>
      <c r="Y29" s="369">
        <f t="shared" si="7"/>
        <v>33.583317931630489</v>
      </c>
      <c r="Z29" s="370">
        <f t="shared" si="7"/>
        <v>63.743883368071131</v>
      </c>
      <c r="AA29" s="464" t="s">
        <v>440</v>
      </c>
      <c r="AB29" s="419"/>
      <c r="AC29" s="419"/>
      <c r="AD29" s="419"/>
      <c r="AE29" s="419"/>
      <c r="AF29" s="419"/>
      <c r="AG29" s="465"/>
    </row>
    <row r="30" spans="1:33" x14ac:dyDescent="0.2">
      <c r="A30" s="135" t="s">
        <v>441</v>
      </c>
      <c r="B30" s="145">
        <f>B27</f>
        <v>-120</v>
      </c>
      <c r="C30" s="145">
        <f>B30+C27</f>
        <v>-291.60534848077623</v>
      </c>
      <c r="D30" s="145">
        <f t="shared" ref="D30:Z30" si="8">C30+D27</f>
        <v>-446.85637419932414</v>
      </c>
      <c r="E30" s="145">
        <f t="shared" si="8"/>
        <v>-639.41124080765144</v>
      </c>
      <c r="F30" s="145">
        <f t="shared" si="8"/>
        <v>-802.82183580472463</v>
      </c>
      <c r="G30" s="145">
        <f t="shared" si="8"/>
        <v>-872.42640745354379</v>
      </c>
      <c r="H30" s="145">
        <f t="shared" si="8"/>
        <v>-792.70405995876467</v>
      </c>
      <c r="I30" s="145">
        <f t="shared" si="8"/>
        <v>-635.55879505398536</v>
      </c>
      <c r="J30" s="145">
        <f t="shared" si="8"/>
        <v>-475.22893545469037</v>
      </c>
      <c r="K30" s="145">
        <f t="shared" si="8"/>
        <v>-311.77801424484221</v>
      </c>
      <c r="L30" s="145">
        <f t="shared" si="8"/>
        <v>-145.14361019222986</v>
      </c>
      <c r="M30" s="145">
        <f t="shared" si="8"/>
        <v>24.737946360002013</v>
      </c>
      <c r="N30" s="145">
        <f t="shared" si="8"/>
        <v>197.93159846184577</v>
      </c>
      <c r="O30" s="145">
        <f t="shared" si="8"/>
        <v>374.50358802429366</v>
      </c>
      <c r="P30" s="145">
        <f t="shared" si="8"/>
        <v>554.52148179655774</v>
      </c>
      <c r="Q30" s="145">
        <f t="shared" si="8"/>
        <v>738.05419786283426</v>
      </c>
      <c r="R30" s="145">
        <f t="shared" si="8"/>
        <v>923.36083266900368</v>
      </c>
      <c r="S30" s="145">
        <f t="shared" si="8"/>
        <v>1109.5934971241998</v>
      </c>
      <c r="T30" s="145">
        <f t="shared" si="8"/>
        <v>1296.7965052314485</v>
      </c>
      <c r="U30" s="145">
        <f t="shared" si="8"/>
        <v>1484.0967558213065</v>
      </c>
      <c r="V30" s="145">
        <f t="shared" si="8"/>
        <v>1671.5166742498957</v>
      </c>
      <c r="W30" s="145">
        <f t="shared" si="8"/>
        <v>1859.9761226243897</v>
      </c>
      <c r="X30" s="145">
        <f t="shared" si="8"/>
        <v>2051.3099351815458</v>
      </c>
      <c r="Y30" s="145">
        <f t="shared" si="8"/>
        <v>2246.4704239898451</v>
      </c>
      <c r="Z30" s="145">
        <f t="shared" si="8"/>
        <v>2645.0833029477471</v>
      </c>
      <c r="AA30" s="466" t="s">
        <v>442</v>
      </c>
      <c r="AB30" s="465"/>
      <c r="AC30" s="465"/>
      <c r="AD30" s="465"/>
      <c r="AE30" s="465"/>
      <c r="AF30" s="465"/>
      <c r="AG30" s="465"/>
    </row>
    <row r="31" spans="1:33" ht="16" thickBot="1" x14ac:dyDescent="0.25">
      <c r="A31" s="141" t="s">
        <v>443</v>
      </c>
      <c r="B31" s="152">
        <f>B29</f>
        <v>-111.51588458100296</v>
      </c>
      <c r="C31" s="152">
        <f>B31+C29</f>
        <v>-259.71369763514315</v>
      </c>
      <c r="D31" s="152">
        <f t="shared" ref="D31:Z31" si="9">C31+D29</f>
        <v>-384.3087913656052</v>
      </c>
      <c r="E31" s="152">
        <f t="shared" si="9"/>
        <v>-527.9160692223727</v>
      </c>
      <c r="F31" s="152">
        <f t="shared" si="9"/>
        <v>-641.17113837523789</v>
      </c>
      <c r="G31" s="152">
        <f t="shared" si="9"/>
        <v>-686.0013398915828</v>
      </c>
      <c r="H31" s="152">
        <f t="shared" si="9"/>
        <v>-638.28484964018355</v>
      </c>
      <c r="I31" s="152">
        <f t="shared" si="9"/>
        <v>-550.8780537005847</v>
      </c>
      <c r="J31" s="152">
        <f t="shared" si="9"/>
        <v>-468.00491238145162</v>
      </c>
      <c r="K31" s="152">
        <f t="shared" si="9"/>
        <v>-389.49178999310487</v>
      </c>
      <c r="L31" s="152">
        <f t="shared" si="9"/>
        <v>-315.108559359472</v>
      </c>
      <c r="M31" s="152">
        <f t="shared" si="9"/>
        <v>-244.63729175515215</v>
      </c>
      <c r="N31" s="152">
        <f t="shared" si="9"/>
        <v>-177.87160666302174</v>
      </c>
      <c r="O31" s="152">
        <f t="shared" si="9"/>
        <v>-114.61605644581351</v>
      </c>
      <c r="P31" s="152">
        <f t="shared" si="9"/>
        <v>-54.685544039547217</v>
      </c>
      <c r="Q31" s="152">
        <f t="shared" si="9"/>
        <v>2.0952281195722904</v>
      </c>
      <c r="R31" s="152">
        <f t="shared" si="9"/>
        <v>55.371553101255707</v>
      </c>
      <c r="S31" s="152">
        <f t="shared" si="9"/>
        <v>105.12860432183921</v>
      </c>
      <c r="T31" s="152">
        <f t="shared" si="9"/>
        <v>151.60870803567158</v>
      </c>
      <c r="U31" s="152">
        <f t="shared" si="9"/>
        <v>194.82506076303218</v>
      </c>
      <c r="V31" s="152">
        <f t="shared" si="9"/>
        <v>235.01163496097342</v>
      </c>
      <c r="W31" s="152">
        <f t="shared" si="9"/>
        <v>272.56411673502072</v>
      </c>
      <c r="X31" s="152">
        <f t="shared" si="9"/>
        <v>307.99385479464138</v>
      </c>
      <c r="Y31" s="152">
        <f t="shared" si="9"/>
        <v>341.5771727262719</v>
      </c>
      <c r="Z31" s="152">
        <f t="shared" si="9"/>
        <v>405.32105609434302</v>
      </c>
      <c r="AA31" s="467" t="s">
        <v>444</v>
      </c>
      <c r="AB31" s="468"/>
      <c r="AC31" s="468"/>
      <c r="AD31" s="468"/>
      <c r="AE31" s="468"/>
      <c r="AF31" s="468"/>
      <c r="AG31" s="469"/>
    </row>
    <row r="32" spans="1:33" ht="16" thickBot="1" x14ac:dyDescent="0.25"/>
    <row r="33" spans="1:10" ht="16" thickBot="1" x14ac:dyDescent="0.25">
      <c r="A33" s="131" t="s">
        <v>445</v>
      </c>
      <c r="B33" s="154" t="s">
        <v>378</v>
      </c>
      <c r="C33" s="159" t="s">
        <v>5</v>
      </c>
      <c r="D33" s="471" t="s">
        <v>115</v>
      </c>
      <c r="E33" s="471"/>
      <c r="F33" s="471"/>
      <c r="G33" s="471"/>
      <c r="H33" s="471"/>
      <c r="I33" s="471"/>
      <c r="J33" s="472"/>
    </row>
    <row r="34" spans="1:10" x14ac:dyDescent="0.2">
      <c r="A34" s="373" t="s">
        <v>446</v>
      </c>
      <c r="B34" s="374">
        <f>SUM(B29:Z29)</f>
        <v>405.32105609434302</v>
      </c>
      <c r="C34" s="375" t="s">
        <v>27</v>
      </c>
      <c r="D34" s="419" t="s">
        <v>447</v>
      </c>
      <c r="E34" s="419"/>
      <c r="F34" s="419"/>
      <c r="G34" s="419"/>
      <c r="H34" s="419"/>
      <c r="I34" s="419"/>
      <c r="J34" s="465"/>
    </row>
    <row r="35" spans="1:10" x14ac:dyDescent="0.2">
      <c r="A35" s="135" t="s">
        <v>446</v>
      </c>
      <c r="B35" s="155">
        <f>B34/Proj_Inputs!$B$28</f>
        <v>374.46512942936346</v>
      </c>
      <c r="C35" s="160" t="s">
        <v>448</v>
      </c>
      <c r="D35" s="419" t="s">
        <v>449</v>
      </c>
      <c r="E35" s="419"/>
      <c r="F35" s="419"/>
      <c r="G35" s="419"/>
      <c r="H35" s="419"/>
      <c r="I35" s="419"/>
      <c r="J35" s="465"/>
    </row>
    <row r="36" spans="1:10" x14ac:dyDescent="0.2">
      <c r="A36" s="376" t="s">
        <v>29</v>
      </c>
      <c r="B36" s="377">
        <f>IRR(B27:Z27)</f>
        <v>0.12190390040550114</v>
      </c>
      <c r="C36" s="378" t="s">
        <v>7</v>
      </c>
      <c r="D36" s="419" t="s">
        <v>450</v>
      </c>
      <c r="E36" s="419"/>
      <c r="F36" s="419"/>
      <c r="G36" s="419"/>
      <c r="H36" s="419"/>
      <c r="I36" s="419"/>
      <c r="J36" s="465"/>
    </row>
    <row r="37" spans="1:10" x14ac:dyDescent="0.2">
      <c r="A37" s="135" t="s">
        <v>32</v>
      </c>
      <c r="B37" s="156">
        <f>Proj_Inputs!$B$26</f>
        <v>7.6079882707959318E-2</v>
      </c>
      <c r="C37" s="160" t="s">
        <v>7</v>
      </c>
      <c r="D37" s="419" t="s">
        <v>451</v>
      </c>
      <c r="E37" s="419"/>
      <c r="F37" s="419"/>
      <c r="G37" s="419"/>
      <c r="H37" s="419"/>
      <c r="I37" s="419"/>
      <c r="J37" s="465"/>
    </row>
    <row r="38" spans="1:10" x14ac:dyDescent="0.2">
      <c r="A38" s="135" t="s">
        <v>452</v>
      </c>
      <c r="B38" s="156">
        <f>B36-B37</f>
        <v>4.5824017697541825E-2</v>
      </c>
      <c r="C38" s="160" t="s">
        <v>7</v>
      </c>
      <c r="D38" s="419"/>
      <c r="E38" s="419"/>
      <c r="F38" s="419"/>
      <c r="G38" s="419"/>
      <c r="H38" s="419"/>
      <c r="I38" s="419"/>
      <c r="J38" s="465"/>
    </row>
    <row r="39" spans="1:10" x14ac:dyDescent="0.2">
      <c r="A39" s="135" t="s">
        <v>453</v>
      </c>
      <c r="B39" s="155">
        <f>-SUMPRODUCT(B22:Z22,B28:Z28)</f>
        <v>908.59373634529891</v>
      </c>
      <c r="C39" s="160" t="s">
        <v>27</v>
      </c>
      <c r="D39" s="419" t="s">
        <v>454</v>
      </c>
      <c r="E39" s="419"/>
      <c r="F39" s="419"/>
      <c r="G39" s="419"/>
      <c r="H39" s="419"/>
      <c r="I39" s="419"/>
      <c r="J39" s="465"/>
    </row>
    <row r="40" spans="1:10" x14ac:dyDescent="0.2">
      <c r="A40" s="376" t="s">
        <v>33</v>
      </c>
      <c r="B40" s="379">
        <f>1+B34/B39</f>
        <v>1.4460971277709822</v>
      </c>
      <c r="C40" s="378" t="s">
        <v>34</v>
      </c>
      <c r="D40" s="419" t="s">
        <v>455</v>
      </c>
      <c r="E40" s="419"/>
      <c r="F40" s="419"/>
      <c r="G40" s="419"/>
      <c r="H40" s="419"/>
      <c r="I40" s="419"/>
      <c r="J40" s="465"/>
    </row>
    <row r="41" spans="1:10" x14ac:dyDescent="0.2">
      <c r="A41" s="135" t="s">
        <v>456</v>
      </c>
      <c r="B41" s="157">
        <f>IF(COUNTIF(B30:Z30,"&lt;0")=25,"not recovered",COUNTIF(B30:Z30,"&lt;0")-INDEX(B30:Z30,1,COUNTIF(B30:Z30,"&lt;0"))/INDEX(B27:Z27,1,COUNTIF(B30:Z30,"&lt;0")+1))</f>
        <v>11.854381212051138</v>
      </c>
      <c r="C41" s="160" t="s">
        <v>366</v>
      </c>
      <c r="D41" s="419" t="s">
        <v>457</v>
      </c>
      <c r="E41" s="419"/>
      <c r="F41" s="419"/>
      <c r="G41" s="419"/>
      <c r="H41" s="419"/>
      <c r="I41" s="419"/>
      <c r="J41" s="465"/>
    </row>
    <row r="42" spans="1:10" x14ac:dyDescent="0.2">
      <c r="A42" s="135" t="s">
        <v>458</v>
      </c>
      <c r="B42" s="157">
        <f>IF(COUNTIF(B31:Z31,"&lt;0")=25,"not recovered",COUNTIF(B31:Z31,"&lt;0")-INDEX(B31:Z31,1,COUNTIF(B31:Z31,"&lt;0"))/INDEX(B29:Z29,1,COUNTIF(B31:Z31,"&lt;0")+1))</f>
        <v>15.963099689562151</v>
      </c>
      <c r="C42" s="160" t="s">
        <v>366</v>
      </c>
      <c r="D42" s="419" t="s">
        <v>459</v>
      </c>
      <c r="E42" s="419"/>
      <c r="F42" s="419"/>
      <c r="G42" s="419"/>
      <c r="H42" s="419"/>
      <c r="I42" s="419"/>
      <c r="J42" s="465"/>
    </row>
    <row r="43" spans="1:10" x14ac:dyDescent="0.2">
      <c r="A43" s="135" t="s">
        <v>460</v>
      </c>
      <c r="B43" s="155">
        <f>NPV(B37-0.01,B27:Z27)</f>
        <v>548.54932498260928</v>
      </c>
      <c r="C43" s="160" t="s">
        <v>27</v>
      </c>
      <c r="D43" s="419" t="s">
        <v>461</v>
      </c>
      <c r="E43" s="419"/>
      <c r="F43" s="419"/>
      <c r="G43" s="419"/>
      <c r="H43" s="419"/>
      <c r="I43" s="419"/>
      <c r="J43" s="465"/>
    </row>
    <row r="44" spans="1:10" ht="16" thickBot="1" x14ac:dyDescent="0.25">
      <c r="A44" s="141" t="s">
        <v>462</v>
      </c>
      <c r="B44" s="158">
        <f>NPV(B37+0.01,B27:Z27)</f>
        <v>286.20264634901798</v>
      </c>
      <c r="C44" s="161" t="s">
        <v>27</v>
      </c>
      <c r="D44" s="468" t="s">
        <v>461</v>
      </c>
      <c r="E44" s="468"/>
      <c r="F44" s="468"/>
      <c r="G44" s="468"/>
      <c r="H44" s="468"/>
      <c r="I44" s="468"/>
      <c r="J44" s="469"/>
    </row>
    <row r="45" spans="1:10" ht="16" thickBot="1" x14ac:dyDescent="0.25">
      <c r="D45" s="455"/>
      <c r="E45" s="455"/>
      <c r="F45" s="455"/>
      <c r="G45" s="455"/>
      <c r="H45" s="455"/>
      <c r="I45" s="455"/>
      <c r="J45" s="455"/>
    </row>
    <row r="46" spans="1:10" ht="16" thickBot="1" x14ac:dyDescent="0.25">
      <c r="A46" s="131" t="s">
        <v>463</v>
      </c>
      <c r="B46" s="154" t="s">
        <v>378</v>
      </c>
      <c r="C46" s="162" t="s">
        <v>5</v>
      </c>
      <c r="D46" s="471" t="s">
        <v>115</v>
      </c>
      <c r="E46" s="471"/>
      <c r="F46" s="471"/>
      <c r="G46" s="471"/>
      <c r="H46" s="471"/>
      <c r="I46" s="471"/>
      <c r="J46" s="472"/>
    </row>
    <row r="47" spans="1:10" x14ac:dyDescent="0.2">
      <c r="A47" s="135" t="s">
        <v>464</v>
      </c>
      <c r="B47" s="155">
        <f>SUMPRODUCT(B14:Z14,B28:Z28)</f>
        <v>7996.614004676806</v>
      </c>
      <c r="C47" s="163" t="s">
        <v>27</v>
      </c>
      <c r="D47" s="419" t="s">
        <v>465</v>
      </c>
      <c r="E47" s="419"/>
      <c r="F47" s="419"/>
      <c r="G47" s="419"/>
      <c r="H47" s="419"/>
      <c r="I47" s="419"/>
      <c r="J47" s="465"/>
    </row>
    <row r="48" spans="1:10" x14ac:dyDescent="0.2">
      <c r="A48" s="135" t="s">
        <v>466</v>
      </c>
      <c r="B48" s="155">
        <f>SUMPRODUCT(B22:Z22,B28:Z28)-Proj_Inputs!$B$24*SUMPRODUCT(B16:Z16,B28:Z28)+(-SUM(B22:Z22)+SUM(B16:Z16))*Z28</f>
        <v>-788.34880846738349</v>
      </c>
      <c r="C48" s="163" t="s">
        <v>27</v>
      </c>
      <c r="D48" s="419" t="s">
        <v>467</v>
      </c>
      <c r="E48" s="419"/>
      <c r="F48" s="419"/>
      <c r="G48" s="419"/>
      <c r="H48" s="419"/>
      <c r="I48" s="419"/>
      <c r="J48" s="465"/>
    </row>
    <row r="49" spans="1:10" x14ac:dyDescent="0.2">
      <c r="A49" s="135" t="s">
        <v>468</v>
      </c>
      <c r="B49" s="155">
        <f>B34-Proj_Inputs!$B$21*(1-Proj_Inputs!$B$24)*B47-B48</f>
        <v>-112.7195388703384</v>
      </c>
      <c r="C49" s="163" t="s">
        <v>27</v>
      </c>
      <c r="D49" s="419" t="s">
        <v>469</v>
      </c>
      <c r="E49" s="419"/>
      <c r="F49" s="419"/>
      <c r="G49" s="419"/>
      <c r="H49" s="419"/>
      <c r="I49" s="419"/>
      <c r="J49" s="465"/>
    </row>
    <row r="50" spans="1:10" ht="16" thickBot="1" x14ac:dyDescent="0.25">
      <c r="A50" s="194" t="s">
        <v>470</v>
      </c>
      <c r="B50" s="371">
        <f>Proj_Inputs!$B$21*(1-Proj_Inputs!$B$24)*B47+B49+B48-B34</f>
        <v>0</v>
      </c>
      <c r="C50" s="164" t="s">
        <v>27</v>
      </c>
      <c r="D50" s="468" t="s">
        <v>471</v>
      </c>
      <c r="E50" s="468"/>
      <c r="F50" s="468"/>
      <c r="G50" s="468"/>
      <c r="H50" s="468"/>
      <c r="I50" s="468"/>
      <c r="J50" s="469"/>
    </row>
    <row r="51" spans="1:10" ht="16" thickBot="1" x14ac:dyDescent="0.25"/>
    <row r="52" spans="1:10" ht="16" thickBot="1" x14ac:dyDescent="0.25">
      <c r="A52" s="270" t="s">
        <v>472</v>
      </c>
      <c r="B52" s="277" t="s">
        <v>378</v>
      </c>
      <c r="C52" s="269" t="s">
        <v>5</v>
      </c>
      <c r="D52" s="471" t="s">
        <v>115</v>
      </c>
      <c r="E52" s="471"/>
      <c r="F52" s="471"/>
      <c r="G52" s="471"/>
      <c r="H52" s="471"/>
      <c r="I52" s="471"/>
      <c r="J52" s="472"/>
    </row>
    <row r="53" spans="1:10" x14ac:dyDescent="0.2">
      <c r="A53" s="373" t="s">
        <v>30</v>
      </c>
      <c r="B53" s="381">
        <f>((1+MIRR(B27:Z27,B37,B37))^(Z5-1)*(1+B37))^(1/Z5)-1</f>
        <v>9.625007604264102E-2</v>
      </c>
      <c r="C53" s="375" t="s">
        <v>7</v>
      </c>
      <c r="D53" s="411" t="s">
        <v>473</v>
      </c>
      <c r="E53" s="411"/>
      <c r="F53" s="411"/>
      <c r="G53" s="411"/>
      <c r="H53" s="411"/>
      <c r="I53" s="411"/>
      <c r="J53" s="412"/>
    </row>
    <row r="54" spans="1:10" x14ac:dyDescent="0.2">
      <c r="A54" s="135" t="s">
        <v>474</v>
      </c>
      <c r="B54" s="265">
        <f>-B48/(Proj_Inputs!$B$21*(1-Proj_Inputs!$B$24)*B47+B49)</f>
        <v>0.66044124248444291</v>
      </c>
      <c r="C54" s="160" t="s">
        <v>34</v>
      </c>
      <c r="D54" s="411" t="s">
        <v>475</v>
      </c>
      <c r="E54" s="411"/>
      <c r="F54" s="411"/>
      <c r="G54" s="411"/>
      <c r="H54" s="411"/>
      <c r="I54" s="411"/>
      <c r="J54" s="412"/>
    </row>
    <row r="55" spans="1:10" x14ac:dyDescent="0.2">
      <c r="A55" s="135" t="s">
        <v>476</v>
      </c>
      <c r="B55" s="266">
        <f>Proj_Inputs!$B$16*B54</f>
        <v>108.97280500993308</v>
      </c>
      <c r="C55" s="160" t="s">
        <v>347</v>
      </c>
      <c r="D55" s="411" t="s">
        <v>477</v>
      </c>
      <c r="E55" s="411"/>
      <c r="F55" s="411"/>
      <c r="G55" s="411"/>
      <c r="H55" s="411"/>
      <c r="I55" s="411"/>
      <c r="J55" s="412"/>
    </row>
    <row r="56" spans="1:10" x14ac:dyDescent="0.2">
      <c r="A56" s="135" t="s">
        <v>478</v>
      </c>
      <c r="B56" s="36">
        <f>(Proj_Inputs!$B$10+Proj_Inputs!$B$11)*Proj_Inputs!$B$20*B54</f>
        <v>3.2989040062097925</v>
      </c>
      <c r="C56" s="160" t="s">
        <v>336</v>
      </c>
      <c r="D56" s="411" t="s">
        <v>479</v>
      </c>
      <c r="E56" s="411"/>
      <c r="F56" s="411"/>
      <c r="G56" s="411"/>
      <c r="H56" s="411"/>
      <c r="I56" s="411"/>
      <c r="J56" s="412"/>
    </row>
    <row r="57" spans="1:10" x14ac:dyDescent="0.2">
      <c r="A57" s="135" t="s">
        <v>480</v>
      </c>
      <c r="B57" s="267">
        <f>Proj_Inputs!$B$20*B54</f>
        <v>0.59439711823599861</v>
      </c>
      <c r="C57" s="160" t="s">
        <v>7</v>
      </c>
      <c r="D57" s="411" t="s">
        <v>481</v>
      </c>
      <c r="E57" s="411"/>
      <c r="F57" s="411"/>
      <c r="G57" s="411"/>
      <c r="H57" s="411"/>
      <c r="I57" s="411"/>
      <c r="J57" s="412"/>
    </row>
    <row r="58" spans="1:10" x14ac:dyDescent="0.2">
      <c r="A58" s="376" t="s">
        <v>482</v>
      </c>
      <c r="B58" s="382">
        <f>1-B54</f>
        <v>0.33955875751555709</v>
      </c>
      <c r="C58" s="378" t="s">
        <v>7</v>
      </c>
      <c r="D58" s="411" t="s">
        <v>483</v>
      </c>
      <c r="E58" s="411"/>
      <c r="F58" s="411"/>
      <c r="G58" s="411"/>
      <c r="H58" s="411"/>
      <c r="I58" s="411"/>
      <c r="J58" s="412"/>
    </row>
    <row r="59" spans="1:10" ht="16" thickBot="1" x14ac:dyDescent="0.25">
      <c r="A59" s="141" t="s">
        <v>484</v>
      </c>
      <c r="B59" s="268">
        <f>B54*360</f>
        <v>237.75884729439946</v>
      </c>
      <c r="C59" s="161" t="s">
        <v>485</v>
      </c>
      <c r="D59" s="413" t="s">
        <v>486</v>
      </c>
      <c r="E59" s="413"/>
      <c r="F59" s="413"/>
      <c r="G59" s="413"/>
      <c r="H59" s="413"/>
      <c r="I59" s="413"/>
      <c r="J59" s="414"/>
    </row>
  </sheetData>
  <mergeCells count="55">
    <mergeCell ref="A1:C1"/>
    <mergeCell ref="A2:D2"/>
    <mergeCell ref="D57:J57"/>
    <mergeCell ref="D58:J58"/>
    <mergeCell ref="D59:J59"/>
    <mergeCell ref="D52:J52"/>
    <mergeCell ref="D53:J53"/>
    <mergeCell ref="D54:J54"/>
    <mergeCell ref="D55:J55"/>
    <mergeCell ref="D56:J56"/>
    <mergeCell ref="D49:J49"/>
    <mergeCell ref="D50:J50"/>
    <mergeCell ref="D39:J39"/>
    <mergeCell ref="D40:J40"/>
    <mergeCell ref="D41:J41"/>
    <mergeCell ref="D42:J42"/>
    <mergeCell ref="AA9:AG9"/>
    <mergeCell ref="D45:J45"/>
    <mergeCell ref="D46:J46"/>
    <mergeCell ref="AA21:AG21"/>
    <mergeCell ref="AA11:AG11"/>
    <mergeCell ref="AA12:AG12"/>
    <mergeCell ref="AA13:AG13"/>
    <mergeCell ref="AA14:AG14"/>
    <mergeCell ref="AA15:AG15"/>
    <mergeCell ref="AA16:AG16"/>
    <mergeCell ref="AA17:AG17"/>
    <mergeCell ref="AA18:AG18"/>
    <mergeCell ref="AA19:AG19"/>
    <mergeCell ref="AA20:AG20"/>
    <mergeCell ref="D47:J47"/>
    <mergeCell ref="D48:J48"/>
    <mergeCell ref="D33:J33"/>
    <mergeCell ref="D34:J34"/>
    <mergeCell ref="D35:J35"/>
    <mergeCell ref="D36:J36"/>
    <mergeCell ref="D37:J37"/>
    <mergeCell ref="D38:J38"/>
    <mergeCell ref="D43:J43"/>
    <mergeCell ref="D44:J44"/>
    <mergeCell ref="AA4:AG4"/>
    <mergeCell ref="AA5:AG5"/>
    <mergeCell ref="AA6:AG6"/>
    <mergeCell ref="AA7:AG7"/>
    <mergeCell ref="AA8:AG8"/>
    <mergeCell ref="AA28:AG28"/>
    <mergeCell ref="AA29:AG29"/>
    <mergeCell ref="AA30:AG30"/>
    <mergeCell ref="AA31:AG31"/>
    <mergeCell ref="AA22:AG22"/>
    <mergeCell ref="AA23:AG23"/>
    <mergeCell ref="AA24:AG24"/>
    <mergeCell ref="AA25:AG25"/>
    <mergeCell ref="AA26:AG26"/>
    <mergeCell ref="AA27:AG2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26CFD0-44D0-C240-8E2E-CA8A68AE8AA6}">
  <dimension ref="A1:AE59"/>
  <sheetViews>
    <sheetView zoomScale="125" workbookViewId="0">
      <selection sqref="A1:E1"/>
    </sheetView>
  </sheetViews>
  <sheetFormatPr baseColWidth="10" defaultColWidth="11.5" defaultRowHeight="15" x14ac:dyDescent="0.2"/>
  <cols>
    <col min="1" max="1" width="35.83203125" customWidth="1"/>
  </cols>
  <sheetData>
    <row r="1" spans="1:31" x14ac:dyDescent="0.2">
      <c r="A1" s="463" t="s">
        <v>487</v>
      </c>
      <c r="B1" s="463"/>
      <c r="C1" s="463"/>
      <c r="D1" s="463"/>
      <c r="E1" s="463"/>
    </row>
    <row r="2" spans="1:31" x14ac:dyDescent="0.2">
      <c r="A2" s="419" t="s">
        <v>409</v>
      </c>
      <c r="B2" s="419"/>
      <c r="C2" s="419"/>
      <c r="D2" s="419"/>
      <c r="E2" s="419"/>
    </row>
    <row r="3" spans="1:31" ht="16" thickBot="1" x14ac:dyDescent="0.25">
      <c r="A3" s="130"/>
    </row>
    <row r="4" spans="1:31" ht="16" thickBot="1" x14ac:dyDescent="0.25">
      <c r="A4" s="131" t="s">
        <v>410</v>
      </c>
      <c r="B4" s="150">
        <f>Proj_Inputs!$C$7</f>
        <v>2023</v>
      </c>
      <c r="C4" s="150">
        <f t="shared" ref="C4:Z4" si="0">B4+1</f>
        <v>2024</v>
      </c>
      <c r="D4" s="150">
        <f t="shared" si="0"/>
        <v>2025</v>
      </c>
      <c r="E4" s="150">
        <f t="shared" si="0"/>
        <v>2026</v>
      </c>
      <c r="F4" s="150">
        <f t="shared" si="0"/>
        <v>2027</v>
      </c>
      <c r="G4" s="150">
        <f t="shared" si="0"/>
        <v>2028</v>
      </c>
      <c r="H4" s="150">
        <f t="shared" si="0"/>
        <v>2029</v>
      </c>
      <c r="I4" s="150">
        <f t="shared" si="0"/>
        <v>2030</v>
      </c>
      <c r="J4" s="150">
        <f t="shared" si="0"/>
        <v>2031</v>
      </c>
      <c r="K4" s="150">
        <f t="shared" si="0"/>
        <v>2032</v>
      </c>
      <c r="L4" s="150">
        <f t="shared" si="0"/>
        <v>2033</v>
      </c>
      <c r="M4" s="150">
        <f t="shared" si="0"/>
        <v>2034</v>
      </c>
      <c r="N4" s="150">
        <f t="shared" si="0"/>
        <v>2035</v>
      </c>
      <c r="O4" s="150">
        <f t="shared" si="0"/>
        <v>2036</v>
      </c>
      <c r="P4" s="150">
        <f t="shared" si="0"/>
        <v>2037</v>
      </c>
      <c r="Q4" s="150">
        <f t="shared" si="0"/>
        <v>2038</v>
      </c>
      <c r="R4" s="150">
        <f t="shared" si="0"/>
        <v>2039</v>
      </c>
      <c r="S4" s="150">
        <f t="shared" si="0"/>
        <v>2040</v>
      </c>
      <c r="T4" s="150">
        <f t="shared" si="0"/>
        <v>2041</v>
      </c>
      <c r="U4" s="150">
        <f t="shared" si="0"/>
        <v>2042</v>
      </c>
      <c r="V4" s="150">
        <f t="shared" si="0"/>
        <v>2043</v>
      </c>
      <c r="W4" s="150">
        <f t="shared" si="0"/>
        <v>2044</v>
      </c>
      <c r="X4" s="150">
        <f t="shared" si="0"/>
        <v>2045</v>
      </c>
      <c r="Y4" s="150">
        <f t="shared" si="0"/>
        <v>2046</v>
      </c>
      <c r="Z4" s="150">
        <f t="shared" si="0"/>
        <v>2047</v>
      </c>
      <c r="AA4" s="470" t="s">
        <v>115</v>
      </c>
      <c r="AB4" s="471"/>
      <c r="AC4" s="471"/>
      <c r="AD4" s="471"/>
      <c r="AE4" s="472"/>
    </row>
    <row r="5" spans="1:31" x14ac:dyDescent="0.2">
      <c r="A5" s="135" t="s">
        <v>176</v>
      </c>
      <c r="B5" s="165">
        <v>1</v>
      </c>
      <c r="C5" s="165">
        <v>2</v>
      </c>
      <c r="D5" s="165">
        <v>3</v>
      </c>
      <c r="E5" s="165">
        <v>4</v>
      </c>
      <c r="F5" s="165">
        <v>5</v>
      </c>
      <c r="G5" s="165">
        <v>6</v>
      </c>
      <c r="H5" s="165">
        <v>7</v>
      </c>
      <c r="I5" s="165">
        <v>8</v>
      </c>
      <c r="J5" s="165">
        <v>9</v>
      </c>
      <c r="K5" s="165">
        <v>10</v>
      </c>
      <c r="L5" s="165">
        <v>11</v>
      </c>
      <c r="M5" s="165">
        <v>12</v>
      </c>
      <c r="N5" s="165">
        <v>13</v>
      </c>
      <c r="O5" s="165">
        <v>14</v>
      </c>
      <c r="P5" s="165">
        <v>15</v>
      </c>
      <c r="Q5" s="165">
        <v>16</v>
      </c>
      <c r="R5" s="165">
        <v>17</v>
      </c>
      <c r="S5" s="165">
        <v>18</v>
      </c>
      <c r="T5" s="165">
        <v>19</v>
      </c>
      <c r="U5" s="165">
        <v>20</v>
      </c>
      <c r="V5" s="165">
        <v>21</v>
      </c>
      <c r="W5" s="165">
        <v>22</v>
      </c>
      <c r="X5" s="165">
        <v>23</v>
      </c>
      <c r="Y5" s="165">
        <v>24</v>
      </c>
      <c r="Z5" s="165">
        <v>25</v>
      </c>
      <c r="AA5" s="466"/>
      <c r="AB5" s="465"/>
      <c r="AC5" s="465"/>
      <c r="AD5" s="465"/>
      <c r="AE5" s="465"/>
    </row>
    <row r="6" spans="1:31" x14ac:dyDescent="0.2">
      <c r="A6" s="135" t="s">
        <v>411</v>
      </c>
      <c r="B6" s="166">
        <v>0.3</v>
      </c>
      <c r="C6" s="166">
        <v>0.4</v>
      </c>
      <c r="D6" s="166">
        <v>0.25</v>
      </c>
      <c r="E6" s="166">
        <v>0.05</v>
      </c>
      <c r="F6" s="166">
        <v>0</v>
      </c>
      <c r="G6" s="166">
        <v>0</v>
      </c>
      <c r="H6" s="166">
        <v>0</v>
      </c>
      <c r="I6" s="166">
        <v>0</v>
      </c>
      <c r="J6" s="166">
        <v>0</v>
      </c>
      <c r="K6" s="166">
        <v>0</v>
      </c>
      <c r="L6" s="166">
        <v>0</v>
      </c>
      <c r="M6" s="166">
        <v>0</v>
      </c>
      <c r="N6" s="166">
        <v>0</v>
      </c>
      <c r="O6" s="166">
        <v>0</v>
      </c>
      <c r="P6" s="166">
        <v>0</v>
      </c>
      <c r="Q6" s="166">
        <v>0</v>
      </c>
      <c r="R6" s="166">
        <v>0</v>
      </c>
      <c r="S6" s="166">
        <v>0</v>
      </c>
      <c r="T6" s="166">
        <v>0</v>
      </c>
      <c r="U6" s="166">
        <v>0</v>
      </c>
      <c r="V6" s="166">
        <v>0</v>
      </c>
      <c r="W6" s="166">
        <v>0</v>
      </c>
      <c r="X6" s="166">
        <v>0</v>
      </c>
      <c r="Y6" s="166">
        <v>0</v>
      </c>
      <c r="Z6" s="166">
        <v>0</v>
      </c>
      <c r="AA6" s="466" t="s">
        <v>488</v>
      </c>
      <c r="AB6" s="465"/>
      <c r="AC6" s="465"/>
      <c r="AD6" s="465"/>
      <c r="AE6" s="465"/>
    </row>
    <row r="7" spans="1:31" x14ac:dyDescent="0.2">
      <c r="A7" s="135" t="s">
        <v>413</v>
      </c>
      <c r="B7" s="167">
        <v>0</v>
      </c>
      <c r="C7" s="167">
        <v>0.3</v>
      </c>
      <c r="D7" s="167">
        <v>3</v>
      </c>
      <c r="E7" s="167">
        <v>5.5</v>
      </c>
      <c r="F7" s="167">
        <v>5.5</v>
      </c>
      <c r="G7" s="167">
        <v>5.5</v>
      </c>
      <c r="H7" s="167">
        <v>5.5</v>
      </c>
      <c r="I7" s="167">
        <v>5.5</v>
      </c>
      <c r="J7" s="167">
        <v>5.5</v>
      </c>
      <c r="K7" s="167">
        <v>5.5</v>
      </c>
      <c r="L7" s="167">
        <v>5.5</v>
      </c>
      <c r="M7" s="167">
        <v>5.5</v>
      </c>
      <c r="N7" s="167">
        <v>5.5</v>
      </c>
      <c r="O7" s="167">
        <v>5.5</v>
      </c>
      <c r="P7" s="167">
        <v>5.5</v>
      </c>
      <c r="Q7" s="167">
        <v>5.5</v>
      </c>
      <c r="R7" s="167">
        <v>5.5</v>
      </c>
      <c r="S7" s="167">
        <v>5.5</v>
      </c>
      <c r="T7" s="167">
        <v>5.5</v>
      </c>
      <c r="U7" s="167">
        <v>5.5</v>
      </c>
      <c r="V7" s="167">
        <v>5.5</v>
      </c>
      <c r="W7" s="167">
        <v>5.5</v>
      </c>
      <c r="X7" s="167">
        <v>5.5</v>
      </c>
      <c r="Y7" s="167">
        <v>5.5</v>
      </c>
      <c r="Z7" s="167">
        <v>5.5</v>
      </c>
      <c r="AA7" s="466" t="s">
        <v>489</v>
      </c>
      <c r="AB7" s="465"/>
      <c r="AC7" s="465"/>
      <c r="AD7" s="465"/>
      <c r="AE7" s="465"/>
    </row>
    <row r="8" spans="1:31" x14ac:dyDescent="0.2">
      <c r="A8" s="135" t="s">
        <v>415</v>
      </c>
      <c r="B8" s="167">
        <v>0</v>
      </c>
      <c r="C8" s="167">
        <v>0</v>
      </c>
      <c r="D8" s="167">
        <v>0.5</v>
      </c>
      <c r="E8" s="167">
        <v>1</v>
      </c>
      <c r="F8" s="167">
        <v>1</v>
      </c>
      <c r="G8" s="167">
        <v>1</v>
      </c>
      <c r="H8" s="167">
        <v>1</v>
      </c>
      <c r="I8" s="167">
        <v>1</v>
      </c>
      <c r="J8" s="167">
        <v>1</v>
      </c>
      <c r="K8" s="167">
        <v>1</v>
      </c>
      <c r="L8" s="167">
        <v>1</v>
      </c>
      <c r="M8" s="167">
        <v>1</v>
      </c>
      <c r="N8" s="167">
        <v>1</v>
      </c>
      <c r="O8" s="167">
        <v>1</v>
      </c>
      <c r="P8" s="167">
        <v>1</v>
      </c>
      <c r="Q8" s="167">
        <v>1</v>
      </c>
      <c r="R8" s="167">
        <v>1</v>
      </c>
      <c r="S8" s="167">
        <v>1</v>
      </c>
      <c r="T8" s="167">
        <v>1</v>
      </c>
      <c r="U8" s="167">
        <v>1</v>
      </c>
      <c r="V8" s="167">
        <v>1</v>
      </c>
      <c r="W8" s="167">
        <v>1</v>
      </c>
      <c r="X8" s="167">
        <v>1</v>
      </c>
      <c r="Y8" s="167">
        <v>1</v>
      </c>
      <c r="Z8" s="167">
        <v>1</v>
      </c>
      <c r="AA8" s="466" t="s">
        <v>490</v>
      </c>
      <c r="AB8" s="465"/>
      <c r="AC8" s="465"/>
      <c r="AD8" s="465"/>
      <c r="AE8" s="465"/>
    </row>
    <row r="9" spans="1:31" ht="16" thickBot="1" x14ac:dyDescent="0.25">
      <c r="A9" s="141" t="s">
        <v>417</v>
      </c>
      <c r="B9" s="151">
        <f>(1+Proj_Inputs!$C$19)^(B$4-Proj_Inputs!$C$18)</f>
        <v>0.96116878123798544</v>
      </c>
      <c r="C9" s="151">
        <f>(1+Proj_Inputs!$C$19)^(C$4-Proj_Inputs!$C$18)</f>
        <v>0.98039215686274506</v>
      </c>
      <c r="D9" s="151">
        <f>(1+Proj_Inputs!$C$19)^(D$4-Proj_Inputs!$C$18)</f>
        <v>1</v>
      </c>
      <c r="E9" s="151">
        <f>(1+Proj_Inputs!$C$19)^(E$4-Proj_Inputs!$C$18)</f>
        <v>1.02</v>
      </c>
      <c r="F9" s="151">
        <f>(1+Proj_Inputs!$C$19)^(F$4-Proj_Inputs!$C$18)</f>
        <v>1.0404</v>
      </c>
      <c r="G9" s="151">
        <f>(1+Proj_Inputs!$C$19)^(G$4-Proj_Inputs!$C$18)</f>
        <v>1.0612079999999999</v>
      </c>
      <c r="H9" s="151">
        <f>(1+Proj_Inputs!$C$19)^(H$4-Proj_Inputs!$C$18)</f>
        <v>1.08243216</v>
      </c>
      <c r="I9" s="151">
        <f>(1+Proj_Inputs!$C$19)^(I$4-Proj_Inputs!$C$18)</f>
        <v>1.1040808032</v>
      </c>
      <c r="J9" s="151">
        <f>(1+Proj_Inputs!$C$19)^(J$4-Proj_Inputs!$C$18)</f>
        <v>1.1261624192640001</v>
      </c>
      <c r="K9" s="151">
        <f>(1+Proj_Inputs!$C$19)^(K$4-Proj_Inputs!$C$18)</f>
        <v>1.1486856676492798</v>
      </c>
      <c r="L9" s="151">
        <f>(1+Proj_Inputs!$C$19)^(L$4-Proj_Inputs!$C$18)</f>
        <v>1.1716593810022655</v>
      </c>
      <c r="M9" s="151">
        <f>(1+Proj_Inputs!$C$19)^(M$4-Proj_Inputs!$C$18)</f>
        <v>1.1950925686223108</v>
      </c>
      <c r="N9" s="151">
        <f>(1+Proj_Inputs!$C$19)^(N$4-Proj_Inputs!$C$18)</f>
        <v>1.2189944199947571</v>
      </c>
      <c r="O9" s="151">
        <f>(1+Proj_Inputs!$C$19)^(O$4-Proj_Inputs!$C$18)</f>
        <v>1.243374308394652</v>
      </c>
      <c r="P9" s="151">
        <f>(1+Proj_Inputs!$C$19)^(P$4-Proj_Inputs!$C$18)</f>
        <v>1.2682417945625453</v>
      </c>
      <c r="Q9" s="151">
        <f>(1+Proj_Inputs!$C$19)^(Q$4-Proj_Inputs!$C$18)</f>
        <v>1.2936066304537961</v>
      </c>
      <c r="R9" s="151">
        <f>(1+Proj_Inputs!$C$19)^(R$4-Proj_Inputs!$C$18)</f>
        <v>1.3194787630628722</v>
      </c>
      <c r="S9" s="151">
        <f>(1+Proj_Inputs!$C$19)^(S$4-Proj_Inputs!$C$18)</f>
        <v>1.3458683383241292</v>
      </c>
      <c r="T9" s="151">
        <f>(1+Proj_Inputs!$C$19)^(T$4-Proj_Inputs!$C$18)</f>
        <v>1.372785705090612</v>
      </c>
      <c r="U9" s="151">
        <f>(1+Proj_Inputs!$C$19)^(U$4-Proj_Inputs!$C$18)</f>
        <v>1.4002414191924244</v>
      </c>
      <c r="V9" s="151">
        <f>(1+Proj_Inputs!$C$19)^(V$4-Proj_Inputs!$C$18)</f>
        <v>1.4282462475762727</v>
      </c>
      <c r="W9" s="151">
        <f>(1+Proj_Inputs!$C$19)^(W$4-Proj_Inputs!$C$18)</f>
        <v>1.4568111725277981</v>
      </c>
      <c r="X9" s="151">
        <f>(1+Proj_Inputs!$C$19)^(X$4-Proj_Inputs!$C$18)</f>
        <v>1.4859473959783542</v>
      </c>
      <c r="Y9" s="151">
        <f>(1+Proj_Inputs!$C$19)^(Y$4-Proj_Inputs!$C$18)</f>
        <v>1.5156663438979212</v>
      </c>
      <c r="Z9" s="151">
        <f>(1+Proj_Inputs!$C$19)^(Z$4-Proj_Inputs!$C$18)</f>
        <v>1.5459796707758797</v>
      </c>
      <c r="AA9" s="467" t="s">
        <v>418</v>
      </c>
      <c r="AB9" s="468"/>
      <c r="AC9" s="468"/>
      <c r="AD9" s="468"/>
      <c r="AE9" s="469"/>
    </row>
    <row r="10" spans="1:31" ht="16" thickBot="1" x14ac:dyDescent="0.25"/>
    <row r="11" spans="1:31" ht="16" thickBot="1" x14ac:dyDescent="0.25">
      <c r="A11" s="131" t="s">
        <v>419</v>
      </c>
      <c r="B11" s="150">
        <f t="shared" ref="B11:Z11" si="1">B4</f>
        <v>2023</v>
      </c>
      <c r="C11" s="150">
        <f t="shared" si="1"/>
        <v>2024</v>
      </c>
      <c r="D11" s="150">
        <f t="shared" si="1"/>
        <v>2025</v>
      </c>
      <c r="E11" s="150">
        <f t="shared" si="1"/>
        <v>2026</v>
      </c>
      <c r="F11" s="150">
        <f t="shared" si="1"/>
        <v>2027</v>
      </c>
      <c r="G11" s="150">
        <f t="shared" si="1"/>
        <v>2028</v>
      </c>
      <c r="H11" s="150">
        <f t="shared" si="1"/>
        <v>2029</v>
      </c>
      <c r="I11" s="150">
        <f t="shared" si="1"/>
        <v>2030</v>
      </c>
      <c r="J11" s="150">
        <f t="shared" si="1"/>
        <v>2031</v>
      </c>
      <c r="K11" s="150">
        <f t="shared" si="1"/>
        <v>2032</v>
      </c>
      <c r="L11" s="150">
        <f t="shared" si="1"/>
        <v>2033</v>
      </c>
      <c r="M11" s="150">
        <f t="shared" si="1"/>
        <v>2034</v>
      </c>
      <c r="N11" s="150">
        <f t="shared" si="1"/>
        <v>2035</v>
      </c>
      <c r="O11" s="150">
        <f t="shared" si="1"/>
        <v>2036</v>
      </c>
      <c r="P11" s="150">
        <f t="shared" si="1"/>
        <v>2037</v>
      </c>
      <c r="Q11" s="150">
        <f t="shared" si="1"/>
        <v>2038</v>
      </c>
      <c r="R11" s="150">
        <f t="shared" si="1"/>
        <v>2039</v>
      </c>
      <c r="S11" s="150">
        <f t="shared" si="1"/>
        <v>2040</v>
      </c>
      <c r="T11" s="150">
        <f t="shared" si="1"/>
        <v>2041</v>
      </c>
      <c r="U11" s="150">
        <f t="shared" si="1"/>
        <v>2042</v>
      </c>
      <c r="V11" s="150">
        <f t="shared" si="1"/>
        <v>2043</v>
      </c>
      <c r="W11" s="150">
        <f t="shared" si="1"/>
        <v>2044</v>
      </c>
      <c r="X11" s="150">
        <f t="shared" si="1"/>
        <v>2045</v>
      </c>
      <c r="Y11" s="150">
        <f t="shared" si="1"/>
        <v>2046</v>
      </c>
      <c r="Z11" s="150">
        <f t="shared" si="1"/>
        <v>2047</v>
      </c>
      <c r="AA11" s="470" t="s">
        <v>115</v>
      </c>
      <c r="AB11" s="471"/>
      <c r="AC11" s="471"/>
      <c r="AD11" s="471"/>
      <c r="AE11" s="472"/>
    </row>
    <row r="12" spans="1:31" x14ac:dyDescent="0.2">
      <c r="A12" s="135" t="s">
        <v>420</v>
      </c>
      <c r="B12" s="140">
        <f>B7*Proj_Inputs!$C$20</f>
        <v>0</v>
      </c>
      <c r="C12" s="140">
        <f>C7*Proj_Inputs!$C$20</f>
        <v>0.27</v>
      </c>
      <c r="D12" s="140">
        <f>D7*Proj_Inputs!$C$20</f>
        <v>2.7</v>
      </c>
      <c r="E12" s="140">
        <f>E7*Proj_Inputs!$C$20</f>
        <v>4.95</v>
      </c>
      <c r="F12" s="140">
        <f>F7*Proj_Inputs!$C$20</f>
        <v>4.95</v>
      </c>
      <c r="G12" s="140">
        <f>G7*Proj_Inputs!$C$20</f>
        <v>4.95</v>
      </c>
      <c r="H12" s="140">
        <f>H7*Proj_Inputs!$C$20</f>
        <v>4.95</v>
      </c>
      <c r="I12" s="140">
        <f>I7*Proj_Inputs!$C$20</f>
        <v>4.95</v>
      </c>
      <c r="J12" s="140">
        <f>J7*Proj_Inputs!$C$20</f>
        <v>4.95</v>
      </c>
      <c r="K12" s="140">
        <f>K7*Proj_Inputs!$C$20</f>
        <v>4.95</v>
      </c>
      <c r="L12" s="140">
        <f>L7*Proj_Inputs!$C$20</f>
        <v>4.95</v>
      </c>
      <c r="M12" s="140">
        <f>M7*Proj_Inputs!$C$20</f>
        <v>4.95</v>
      </c>
      <c r="N12" s="140">
        <f>N7*Proj_Inputs!$C$20</f>
        <v>4.95</v>
      </c>
      <c r="O12" s="140">
        <f>O7*Proj_Inputs!$C$20</f>
        <v>4.95</v>
      </c>
      <c r="P12" s="140">
        <f>P7*Proj_Inputs!$C$20</f>
        <v>4.95</v>
      </c>
      <c r="Q12" s="140">
        <f>Q7*Proj_Inputs!$C$20</f>
        <v>4.95</v>
      </c>
      <c r="R12" s="140">
        <f>R7*Proj_Inputs!$C$20</f>
        <v>4.95</v>
      </c>
      <c r="S12" s="140">
        <f>S7*Proj_Inputs!$C$20</f>
        <v>4.95</v>
      </c>
      <c r="T12" s="140">
        <f>T7*Proj_Inputs!$C$20</f>
        <v>4.95</v>
      </c>
      <c r="U12" s="140">
        <f>U7*Proj_Inputs!$C$20</f>
        <v>4.95</v>
      </c>
      <c r="V12" s="140">
        <f>V7*Proj_Inputs!$C$20</f>
        <v>4.95</v>
      </c>
      <c r="W12" s="140">
        <f>W7*Proj_Inputs!$C$20</f>
        <v>4.95</v>
      </c>
      <c r="X12" s="140">
        <f>X7*Proj_Inputs!$C$20</f>
        <v>4.95</v>
      </c>
      <c r="Y12" s="140">
        <f>Y7*Proj_Inputs!$C$20</f>
        <v>4.95</v>
      </c>
      <c r="Z12" s="140">
        <f>Z7*Proj_Inputs!$C$20</f>
        <v>4.95</v>
      </c>
      <c r="AA12" s="466" t="s">
        <v>421</v>
      </c>
      <c r="AB12" s="465"/>
      <c r="AC12" s="465"/>
      <c r="AD12" s="465"/>
      <c r="AE12" s="465"/>
    </row>
    <row r="13" spans="1:31" x14ac:dyDescent="0.2">
      <c r="A13" s="135" t="s">
        <v>422</v>
      </c>
      <c r="B13" s="140">
        <f>B8*Proj_Inputs!$C$20</f>
        <v>0</v>
      </c>
      <c r="C13" s="140">
        <f>C8*Proj_Inputs!$C$20</f>
        <v>0</v>
      </c>
      <c r="D13" s="140">
        <f>D8*Proj_Inputs!$C$20</f>
        <v>0.45</v>
      </c>
      <c r="E13" s="140">
        <f>E8*Proj_Inputs!$C$20</f>
        <v>0.9</v>
      </c>
      <c r="F13" s="140">
        <f>F8*Proj_Inputs!$C$20</f>
        <v>0.9</v>
      </c>
      <c r="G13" s="140">
        <f>G8*Proj_Inputs!$C$20</f>
        <v>0.9</v>
      </c>
      <c r="H13" s="140">
        <f>H8*Proj_Inputs!$C$20</f>
        <v>0.9</v>
      </c>
      <c r="I13" s="140">
        <f>I8*Proj_Inputs!$C$20</f>
        <v>0.9</v>
      </c>
      <c r="J13" s="140">
        <f>J8*Proj_Inputs!$C$20</f>
        <v>0.9</v>
      </c>
      <c r="K13" s="140">
        <f>K8*Proj_Inputs!$C$20</f>
        <v>0.9</v>
      </c>
      <c r="L13" s="140">
        <f>L8*Proj_Inputs!$C$20</f>
        <v>0.9</v>
      </c>
      <c r="M13" s="140">
        <f>M8*Proj_Inputs!$C$20</f>
        <v>0.9</v>
      </c>
      <c r="N13" s="140">
        <f>N8*Proj_Inputs!$C$20</f>
        <v>0.9</v>
      </c>
      <c r="O13" s="140">
        <f>O8*Proj_Inputs!$C$20</f>
        <v>0.9</v>
      </c>
      <c r="P13" s="140">
        <f>P8*Proj_Inputs!$C$20</f>
        <v>0.9</v>
      </c>
      <c r="Q13" s="140">
        <f>Q8*Proj_Inputs!$C$20</f>
        <v>0.9</v>
      </c>
      <c r="R13" s="140">
        <f>R8*Proj_Inputs!$C$20</f>
        <v>0.9</v>
      </c>
      <c r="S13" s="140">
        <f>S8*Proj_Inputs!$C$20</f>
        <v>0.9</v>
      </c>
      <c r="T13" s="140">
        <f>T8*Proj_Inputs!$C$20</f>
        <v>0.9</v>
      </c>
      <c r="U13" s="140">
        <f>U8*Proj_Inputs!$C$20</f>
        <v>0.9</v>
      </c>
      <c r="V13" s="140">
        <f>V8*Proj_Inputs!$C$20</f>
        <v>0.9</v>
      </c>
      <c r="W13" s="140">
        <f>W8*Proj_Inputs!$C$20</f>
        <v>0.9</v>
      </c>
      <c r="X13" s="140">
        <f>X8*Proj_Inputs!$C$20</f>
        <v>0.9</v>
      </c>
      <c r="Y13" s="140">
        <f>Y8*Proj_Inputs!$C$20</f>
        <v>0.9</v>
      </c>
      <c r="Z13" s="140">
        <f>Z8*Proj_Inputs!$C$20</f>
        <v>0.9</v>
      </c>
      <c r="AA13" s="466" t="s">
        <v>421</v>
      </c>
      <c r="AB13" s="465"/>
      <c r="AC13" s="465"/>
      <c r="AD13" s="465"/>
      <c r="AE13" s="465"/>
    </row>
    <row r="14" spans="1:31" x14ac:dyDescent="0.2">
      <c r="A14" s="135" t="s">
        <v>88</v>
      </c>
      <c r="B14" s="145">
        <f>(B12*Proj_Inputs!$C$16+B13*Proj_Inputs!$C$17)*B9</f>
        <v>0</v>
      </c>
      <c r="C14" s="145">
        <f>(C12*Proj_Inputs!$C$16+C13*Proj_Inputs!$C$17)*C9</f>
        <v>25.147058823529413</v>
      </c>
      <c r="D14" s="145">
        <f>(D12*Proj_Inputs!$C$16+D13*Proj_Inputs!$C$17)*D9</f>
        <v>391.5</v>
      </c>
      <c r="E14" s="145">
        <f>(E12*Proj_Inputs!$C$16+E13*Proj_Inputs!$C$17)*E9</f>
        <v>755.05500000000006</v>
      </c>
      <c r="F14" s="145">
        <f>(F12*Proj_Inputs!$C$16+F13*Proj_Inputs!$C$17)*F9</f>
        <v>770.15610000000004</v>
      </c>
      <c r="G14" s="145">
        <f>(G12*Proj_Inputs!$C$16+G13*Proj_Inputs!$C$17)*G9</f>
        <v>785.55922199999998</v>
      </c>
      <c r="H14" s="145">
        <f>(H12*Proj_Inputs!$C$16+H13*Proj_Inputs!$C$17)*H9</f>
        <v>801.27040643999999</v>
      </c>
      <c r="I14" s="145">
        <f>(I12*Proj_Inputs!$C$16+I13*Proj_Inputs!$C$17)*I9</f>
        <v>817.29581456879998</v>
      </c>
      <c r="J14" s="145">
        <f>(J12*Proj_Inputs!$C$16+J13*Proj_Inputs!$C$17)*J9</f>
        <v>833.64173086017604</v>
      </c>
      <c r="K14" s="145">
        <f>(K12*Proj_Inputs!$C$16+K13*Proj_Inputs!$C$17)*K9</f>
        <v>850.31456547737935</v>
      </c>
      <c r="L14" s="145">
        <f>(L12*Proj_Inputs!$C$16+L13*Proj_Inputs!$C$17)*L9</f>
        <v>867.32085678692704</v>
      </c>
      <c r="M14" s="145">
        <f>(M12*Proj_Inputs!$C$16+M13*Proj_Inputs!$C$17)*M9</f>
        <v>884.66727392266557</v>
      </c>
      <c r="N14" s="145">
        <f>(N12*Proj_Inputs!$C$16+N13*Proj_Inputs!$C$17)*N9</f>
        <v>902.36061940111892</v>
      </c>
      <c r="O14" s="145">
        <f>(O12*Proj_Inputs!$C$16+O13*Proj_Inputs!$C$17)*O9</f>
        <v>920.40783178914114</v>
      </c>
      <c r="P14" s="145">
        <f>(P12*Proj_Inputs!$C$16+P13*Proj_Inputs!$C$17)*P9</f>
        <v>938.81598842492417</v>
      </c>
      <c r="Q14" s="145">
        <f>(Q12*Proj_Inputs!$C$16+Q13*Proj_Inputs!$C$17)*Q9</f>
        <v>957.59230819342258</v>
      </c>
      <c r="R14" s="145">
        <f>(R12*Proj_Inputs!$C$16+R13*Proj_Inputs!$C$17)*R9</f>
        <v>976.74415435729111</v>
      </c>
      <c r="S14" s="145">
        <f>(S12*Proj_Inputs!$C$16+S13*Proj_Inputs!$C$17)*S9</f>
        <v>996.27903744443665</v>
      </c>
      <c r="T14" s="145">
        <f>(T12*Proj_Inputs!$C$16+T13*Proj_Inputs!$C$17)*T9</f>
        <v>1016.2046181933256</v>
      </c>
      <c r="U14" s="145">
        <f>(U12*Proj_Inputs!$C$16+U13*Proj_Inputs!$C$17)*U9</f>
        <v>1036.5287105571922</v>
      </c>
      <c r="V14" s="145">
        <f>(V12*Proj_Inputs!$C$16+V13*Proj_Inputs!$C$17)*V9</f>
        <v>1057.2592847683359</v>
      </c>
      <c r="W14" s="145">
        <f>(W12*Proj_Inputs!$C$16+W13*Proj_Inputs!$C$17)*W9</f>
        <v>1078.4044704637026</v>
      </c>
      <c r="X14" s="145">
        <f>(X12*Proj_Inputs!$C$16+X13*Proj_Inputs!$C$17)*X9</f>
        <v>1099.9725598729767</v>
      </c>
      <c r="Y14" s="145">
        <f>(Y12*Proj_Inputs!$C$16+Y13*Proj_Inputs!$C$17)*Y9</f>
        <v>1121.9720110704361</v>
      </c>
      <c r="Z14" s="145">
        <f>(Z12*Proj_Inputs!$C$16+Z13*Proj_Inputs!$C$17)*Z9</f>
        <v>1144.411451291845</v>
      </c>
      <c r="AA14" s="464" t="s">
        <v>423</v>
      </c>
      <c r="AB14" s="419"/>
      <c r="AC14" s="419"/>
      <c r="AD14" s="419"/>
      <c r="AE14" s="465"/>
    </row>
    <row r="15" spans="1:31" x14ac:dyDescent="0.2">
      <c r="A15" s="362" t="s">
        <v>177</v>
      </c>
      <c r="B15" s="363">
        <f>B14*Proj_Inputs!$C$21</f>
        <v>0</v>
      </c>
      <c r="C15" s="363">
        <f>C14*Proj_Inputs!$C$21</f>
        <v>4.9875503924846587</v>
      </c>
      <c r="D15" s="363">
        <f>D14*Proj_Inputs!$C$21</f>
        <v>77.648284531419051</v>
      </c>
      <c r="E15" s="363">
        <f>E14*Proj_Inputs!$C$21</f>
        <v>149.75408806352647</v>
      </c>
      <c r="F15" s="363">
        <f>F14*Proj_Inputs!$C$21</f>
        <v>152.74916982479701</v>
      </c>
      <c r="G15" s="363">
        <f>G14*Proj_Inputs!$C$21</f>
        <v>155.80415322129292</v>
      </c>
      <c r="H15" s="363">
        <f>H14*Proj_Inputs!$C$21</f>
        <v>158.9202362857188</v>
      </c>
      <c r="I15" s="363">
        <f>I14*Proj_Inputs!$C$21</f>
        <v>162.09864101143316</v>
      </c>
      <c r="J15" s="363">
        <f>J14*Proj_Inputs!$C$21</f>
        <v>165.34061383166184</v>
      </c>
      <c r="K15" s="363">
        <f>K14*Proj_Inputs!$C$21</f>
        <v>168.64742610829504</v>
      </c>
      <c r="L15" s="363">
        <f>L14*Proj_Inputs!$C$21</f>
        <v>172.02037463046096</v>
      </c>
      <c r="M15" s="363">
        <f>M14*Proj_Inputs!$C$21</f>
        <v>175.46078212307017</v>
      </c>
      <c r="N15" s="363">
        <f>N14*Proj_Inputs!$C$21</f>
        <v>178.96999776553159</v>
      </c>
      <c r="O15" s="363">
        <f>O14*Proj_Inputs!$C$21</f>
        <v>182.54939772084219</v>
      </c>
      <c r="P15" s="363">
        <f>P14*Proj_Inputs!$C$21</f>
        <v>186.20038567525907</v>
      </c>
      <c r="Q15" s="363">
        <f>Q14*Proj_Inputs!$C$21</f>
        <v>189.92439338876423</v>
      </c>
      <c r="R15" s="363">
        <f>R14*Proj_Inputs!$C$21</f>
        <v>193.72288125653955</v>
      </c>
      <c r="S15" s="363">
        <f>S14*Proj_Inputs!$C$21</f>
        <v>197.59733888167028</v>
      </c>
      <c r="T15" s="363">
        <f>T14*Proj_Inputs!$C$21</f>
        <v>201.54928565930371</v>
      </c>
      <c r="U15" s="363">
        <f>U14*Proj_Inputs!$C$21</f>
        <v>205.58027137248982</v>
      </c>
      <c r="V15" s="363">
        <f>V14*Proj_Inputs!$C$21</f>
        <v>209.69187679993956</v>
      </c>
      <c r="W15" s="363">
        <f>W14*Proj_Inputs!$C$21</f>
        <v>213.88571433593839</v>
      </c>
      <c r="X15" s="363">
        <f>X14*Proj_Inputs!$C$21</f>
        <v>218.16342862265714</v>
      </c>
      <c r="Y15" s="363">
        <f>Y14*Proj_Inputs!$C$21</f>
        <v>222.52669719511027</v>
      </c>
      <c r="Z15" s="364">
        <f>Z14*Proj_Inputs!$C$21</f>
        <v>226.9772311390125</v>
      </c>
      <c r="AA15" s="464" t="s">
        <v>424</v>
      </c>
      <c r="AB15" s="419"/>
      <c r="AC15" s="419"/>
      <c r="AD15" s="419"/>
      <c r="AE15" s="465"/>
    </row>
    <row r="16" spans="1:31" x14ac:dyDescent="0.2">
      <c r="A16" s="135" t="s">
        <v>425</v>
      </c>
      <c r="B16" s="145" cm="1">
        <f t="array" ref="B16">SUMPRODUCT(($B$5:$Z$5&gt;=B$5-Proj_Inputs!$C$23)*($B$5:$Z$5&lt;=B$5-1)*$B$22:$Z$22)/Proj_Inputs!$C$23</f>
        <v>0</v>
      </c>
      <c r="C16" s="145" cm="1">
        <f t="array" ref="C16">SUMPRODUCT(($B$5:$Z$5&gt;=C$5-Proj_Inputs!$C$23)*($B$5:$Z$5&lt;=C$5-1)*$B$22:$Z$22)/Proj_Inputs!$C$23</f>
        <v>-32</v>
      </c>
      <c r="D16" s="145" cm="1">
        <f t="array" ref="D16">SUMPRODUCT(($B$5:$Z$5&gt;=D$5-Proj_Inputs!$C$23)*($B$5:$Z$5&lt;=D$5-1)*$B$22:$Z$22)/Proj_Inputs!$C$23</f>
        <v>-74.666666666666671</v>
      </c>
      <c r="E16" s="145" cm="1">
        <f t="array" ref="E16">SUMPRODUCT(($B$5:$Z$5&gt;=E$5-Proj_Inputs!$C$23)*($B$5:$Z$5&lt;=E$5-1)*$B$22:$Z$22)/Proj_Inputs!$C$23</f>
        <v>-101.33333333333333</v>
      </c>
      <c r="F16" s="145" cm="1">
        <f t="array" ref="F16">SUMPRODUCT(($B$5:$Z$5&gt;=F$5-Proj_Inputs!$C$23)*($B$5:$Z$5&lt;=F$5-1)*$B$22:$Z$22)/Proj_Inputs!$C$23</f>
        <v>-106.66666666666667</v>
      </c>
      <c r="G16" s="145" cm="1">
        <f t="array" ref="G16">SUMPRODUCT(($B$5:$Z$5&gt;=G$5-Proj_Inputs!$C$23)*($B$5:$Z$5&lt;=G$5-1)*$B$22:$Z$22)/Proj_Inputs!$C$23</f>
        <v>-106.66666666666667</v>
      </c>
      <c r="H16" s="145" cm="1">
        <f t="array" ref="H16">SUMPRODUCT(($B$5:$Z$5&gt;=H$5-Proj_Inputs!$C$23)*($B$5:$Z$5&lt;=H$5-1)*$B$22:$Z$22)/Proj_Inputs!$C$23</f>
        <v>-106.66666666666667</v>
      </c>
      <c r="I16" s="145" cm="1">
        <f t="array" ref="I16">SUMPRODUCT(($B$5:$Z$5&gt;=I$5-Proj_Inputs!$C$23)*($B$5:$Z$5&lt;=I$5-1)*$B$22:$Z$22)/Proj_Inputs!$C$23</f>
        <v>-106.66666666666667</v>
      </c>
      <c r="J16" s="145" cm="1">
        <f t="array" ref="J16">SUMPRODUCT(($B$5:$Z$5&gt;=J$5-Proj_Inputs!$C$23)*($B$5:$Z$5&lt;=J$5-1)*$B$22:$Z$22)/Proj_Inputs!$C$23</f>
        <v>-106.66666666666667</v>
      </c>
      <c r="K16" s="145" cm="1">
        <f t="array" ref="K16">SUMPRODUCT(($B$5:$Z$5&gt;=K$5-Proj_Inputs!$C$23)*($B$5:$Z$5&lt;=K$5-1)*$B$22:$Z$22)/Proj_Inputs!$C$23</f>
        <v>-106.66666666666667</v>
      </c>
      <c r="L16" s="145" cm="1">
        <f t="array" ref="L16">SUMPRODUCT(($B$5:$Z$5&gt;=L$5-Proj_Inputs!$C$23)*($B$5:$Z$5&lt;=L$5-1)*$B$22:$Z$22)/Proj_Inputs!$C$23</f>
        <v>-106.66666666666667</v>
      </c>
      <c r="M16" s="145" cm="1">
        <f t="array" ref="M16">SUMPRODUCT(($B$5:$Z$5&gt;=M$5-Proj_Inputs!$C$23)*($B$5:$Z$5&lt;=M$5-1)*$B$22:$Z$22)/Proj_Inputs!$C$23</f>
        <v>-106.66666666666667</v>
      </c>
      <c r="N16" s="145" cm="1">
        <f t="array" ref="N16">SUMPRODUCT(($B$5:$Z$5&gt;=N$5-Proj_Inputs!$C$23)*($B$5:$Z$5&lt;=N$5-1)*$B$22:$Z$22)/Proj_Inputs!$C$23</f>
        <v>-106.66666666666667</v>
      </c>
      <c r="O16" s="145" cm="1">
        <f t="array" ref="O16">SUMPRODUCT(($B$5:$Z$5&gt;=O$5-Proj_Inputs!$C$23)*($B$5:$Z$5&lt;=O$5-1)*$B$22:$Z$22)/Proj_Inputs!$C$23</f>
        <v>-106.66666666666667</v>
      </c>
      <c r="P16" s="145" cm="1">
        <f t="array" ref="P16">SUMPRODUCT(($B$5:$Z$5&gt;=P$5-Proj_Inputs!$C$23)*($B$5:$Z$5&lt;=P$5-1)*$B$22:$Z$22)/Proj_Inputs!$C$23</f>
        <v>-106.66666666666667</v>
      </c>
      <c r="Q16" s="145" cm="1">
        <f t="array" ref="Q16">SUMPRODUCT(($B$5:$Z$5&gt;=Q$5-Proj_Inputs!$C$23)*($B$5:$Z$5&lt;=Q$5-1)*$B$22:$Z$22)/Proj_Inputs!$C$23</f>
        <v>-106.66666666666667</v>
      </c>
      <c r="R16" s="145" cm="1">
        <f t="array" ref="R16">SUMPRODUCT(($B$5:$Z$5&gt;=R$5-Proj_Inputs!$C$23)*($B$5:$Z$5&lt;=R$5-1)*$B$22:$Z$22)/Proj_Inputs!$C$23</f>
        <v>-74.666666666666671</v>
      </c>
      <c r="S16" s="145" cm="1">
        <f t="array" ref="S16">SUMPRODUCT(($B$5:$Z$5&gt;=S$5-Proj_Inputs!$C$23)*($B$5:$Z$5&lt;=S$5-1)*$B$22:$Z$22)/Proj_Inputs!$C$23</f>
        <v>-32</v>
      </c>
      <c r="T16" s="145" cm="1">
        <f t="array" ref="T16">SUMPRODUCT(($B$5:$Z$5&gt;=T$5-Proj_Inputs!$C$23)*($B$5:$Z$5&lt;=T$5-1)*$B$22:$Z$22)/Proj_Inputs!$C$23</f>
        <v>-5.333333333333333</v>
      </c>
      <c r="U16" s="145" cm="1">
        <f t="array" ref="U16">SUMPRODUCT(($B$5:$Z$5&gt;=U$5-Proj_Inputs!$C$23)*($B$5:$Z$5&lt;=U$5-1)*$B$22:$Z$22)/Proj_Inputs!$C$23</f>
        <v>0</v>
      </c>
      <c r="V16" s="145" cm="1">
        <f t="array" ref="V16">SUMPRODUCT(($B$5:$Z$5&gt;=V$5-Proj_Inputs!$C$23)*($B$5:$Z$5&lt;=V$5-1)*$B$22:$Z$22)/Proj_Inputs!$C$23</f>
        <v>0</v>
      </c>
      <c r="W16" s="145" cm="1">
        <f t="array" ref="W16">SUMPRODUCT(($B$5:$Z$5&gt;=W$5-Proj_Inputs!$C$23)*($B$5:$Z$5&lt;=W$5-1)*$B$22:$Z$22)/Proj_Inputs!$C$23</f>
        <v>0</v>
      </c>
      <c r="X16" s="145" cm="1">
        <f t="array" ref="X16">SUMPRODUCT(($B$5:$Z$5&gt;=X$5-Proj_Inputs!$C$23)*($B$5:$Z$5&lt;=X$5-1)*$B$22:$Z$22)/Proj_Inputs!$C$23</f>
        <v>0</v>
      </c>
      <c r="Y16" s="145" cm="1">
        <f t="array" ref="Y16">SUMPRODUCT(($B$5:$Z$5&gt;=Y$5-Proj_Inputs!$C$23)*($B$5:$Z$5&lt;=Y$5-1)*$B$22:$Z$22)/Proj_Inputs!$C$23</f>
        <v>0</v>
      </c>
      <c r="Z16" s="145" cm="1">
        <f t="array" ref="Z16">SUMPRODUCT(($B$5:$Z$5&gt;=Z$5-Proj_Inputs!$C$23)*($B$5:$Z$5&lt;=Z$5-1)*$B$22:$Z$22)/Proj_Inputs!$C$23</f>
        <v>0</v>
      </c>
      <c r="AA16" s="466" t="s">
        <v>426</v>
      </c>
      <c r="AB16" s="465"/>
      <c r="AC16" s="465"/>
      <c r="AD16" s="465"/>
      <c r="AE16" s="465"/>
    </row>
    <row r="17" spans="1:31" x14ac:dyDescent="0.2">
      <c r="A17" s="135" t="s">
        <v>427</v>
      </c>
      <c r="B17" s="145" cm="1">
        <f t="array" ref="B17">SUMPRODUCT(($B$5:$Z$5&gt;=B$5-Proj_Inputs!$C$23)*($B$5:$Z$5&lt;=B$5-1)*$B$23:$Z$23)/Proj_Inputs!$C$23</f>
        <v>0</v>
      </c>
      <c r="C17" s="145" cm="1">
        <f t="array" ref="C17">SUMPRODUCT(($B$5:$Z$5&gt;=C$5-Proj_Inputs!$C$23)*($B$5:$Z$5&lt;=C$5-1)*$B$23:$Z$23)/Proj_Inputs!$C$23</f>
        <v>0</v>
      </c>
      <c r="D17" s="145" cm="1">
        <f t="array" ref="D17">SUMPRODUCT(($B$5:$Z$5&gt;=D$5-Proj_Inputs!$C$23)*($B$5:$Z$5&lt;=D$5-1)*$B$23:$Z$23)/Proj_Inputs!$C$23</f>
        <v>-3.3529411764705884E-2</v>
      </c>
      <c r="E17" s="145" cm="1">
        <f t="array" ref="E17">SUMPRODUCT(($B$5:$Z$5&gt;=E$5-Proj_Inputs!$C$23)*($B$5:$Z$5&lt;=E$5-1)*$B$23:$Z$23)/Proj_Inputs!$C$23</f>
        <v>-0.55552941176470583</v>
      </c>
      <c r="F17" s="145" cm="1">
        <f t="array" ref="F17">SUMPRODUCT(($B$5:$Z$5&gt;=F$5-Proj_Inputs!$C$23)*($B$5:$Z$5&lt;=F$5-1)*$B$23:$Z$23)/Proj_Inputs!$C$23</f>
        <v>-1.562269411764706</v>
      </c>
      <c r="G17" s="145" cm="1">
        <f t="array" ref="G17">SUMPRODUCT(($B$5:$Z$5&gt;=G$5-Proj_Inputs!$C$23)*($B$5:$Z$5&lt;=G$5-1)*$B$23:$Z$23)/Proj_Inputs!$C$23</f>
        <v>-2.5891442117647059</v>
      </c>
      <c r="H17" s="145" cm="1">
        <f t="array" ref="H17">SUMPRODUCT(($B$5:$Z$5&gt;=H$5-Proj_Inputs!$C$23)*($B$5:$Z$5&lt;=H$5-1)*$B$23:$Z$23)/Proj_Inputs!$C$23</f>
        <v>-3.6365565077647064</v>
      </c>
      <c r="I17" s="145" cm="1">
        <f t="array" ref="I17">SUMPRODUCT(($B$5:$Z$5&gt;=I$5-Proj_Inputs!$C$23)*($B$5:$Z$5&lt;=I$5-1)*$B$23:$Z$23)/Proj_Inputs!$C$23</f>
        <v>-4.7049170496847061</v>
      </c>
      <c r="J17" s="145" cm="1">
        <f t="array" ref="J17">SUMPRODUCT(($B$5:$Z$5&gt;=J$5-Proj_Inputs!$C$23)*($B$5:$Z$5&lt;=J$5-1)*$B$23:$Z$23)/Proj_Inputs!$C$23</f>
        <v>-5.7946448024431056</v>
      </c>
      <c r="K17" s="145" cm="1">
        <f t="array" ref="K17">SUMPRODUCT(($B$5:$Z$5&gt;=K$5-Proj_Inputs!$C$23)*($B$5:$Z$5&lt;=K$5-1)*$B$23:$Z$23)/Proj_Inputs!$C$23</f>
        <v>-6.906167110256674</v>
      </c>
      <c r="L17" s="145" cm="1">
        <f t="array" ref="L17">SUMPRODUCT(($B$5:$Z$5&gt;=L$5-Proj_Inputs!$C$23)*($B$5:$Z$5&lt;=L$5-1)*$B$23:$Z$23)/Proj_Inputs!$C$23</f>
        <v>-8.0399198642265137</v>
      </c>
      <c r="M17" s="145" cm="1">
        <f t="array" ref="M17">SUMPRODUCT(($B$5:$Z$5&gt;=M$5-Proj_Inputs!$C$23)*($B$5:$Z$5&lt;=M$5-1)*$B$23:$Z$23)/Proj_Inputs!$C$23</f>
        <v>-9.1963476732757492</v>
      </c>
      <c r="N17" s="145" cm="1">
        <f t="array" ref="N17">SUMPRODUCT(($B$5:$Z$5&gt;=N$5-Proj_Inputs!$C$23)*($B$5:$Z$5&lt;=N$5-1)*$B$23:$Z$23)/Proj_Inputs!$C$23</f>
        <v>-10.375904038505972</v>
      </c>
      <c r="O17" s="145" cm="1">
        <f t="array" ref="O17">SUMPRODUCT(($B$5:$Z$5&gt;=O$5-Proj_Inputs!$C$23)*($B$5:$Z$5&lt;=O$5-1)*$B$23:$Z$23)/Proj_Inputs!$C$23</f>
        <v>-11.579051531040797</v>
      </c>
      <c r="P17" s="145" cm="1">
        <f t="array" ref="P17">SUMPRODUCT(($B$5:$Z$5&gt;=P$5-Proj_Inputs!$C$23)*($B$5:$Z$5&lt;=P$5-1)*$B$23:$Z$23)/Proj_Inputs!$C$23</f>
        <v>-12.80626197342632</v>
      </c>
      <c r="Q17" s="145" cm="1">
        <f t="array" ref="Q17">SUMPRODUCT(($B$5:$Z$5&gt;=Q$5-Proj_Inputs!$C$23)*($B$5:$Z$5&lt;=Q$5-1)*$B$23:$Z$23)/Proj_Inputs!$C$23</f>
        <v>-14.058016624659553</v>
      </c>
      <c r="R17" s="145" cm="1">
        <f t="array" ref="R17">SUMPRODUCT(($B$5:$Z$5&gt;=R$5-Proj_Inputs!$C$23)*($B$5:$Z$5&lt;=R$5-1)*$B$23:$Z$23)/Proj_Inputs!$C$23</f>
        <v>-15.334806368917448</v>
      </c>
      <c r="S17" s="145" cm="1">
        <f t="array" ref="S17">SUMPRODUCT(($B$5:$Z$5&gt;=S$5-Proj_Inputs!$C$23)*($B$5:$Z$5&lt;=S$5-1)*$B$23:$Z$23)/Proj_Inputs!$C$23</f>
        <v>-16.6036024962958</v>
      </c>
      <c r="T17" s="145" cm="1">
        <f t="array" ref="T17">SUMPRODUCT(($B$5:$Z$5&gt;=T$5-Proj_Inputs!$C$23)*($B$5:$Z$5&lt;=T$5-1)*$B$23:$Z$23)/Proj_Inputs!$C$23</f>
        <v>-17.409974546221711</v>
      </c>
      <c r="U17" s="145" cm="1">
        <f t="array" ref="U17">SUMPRODUCT(($B$5:$Z$5&gt;=U$5-Proj_Inputs!$C$23)*($B$5:$Z$5&lt;=U$5-1)*$B$23:$Z$23)/Proj_Inputs!$C$23</f>
        <v>-17.758174037146148</v>
      </c>
      <c r="V17" s="145" cm="1">
        <f t="array" ref="V17">SUMPRODUCT(($B$5:$Z$5&gt;=V$5-Proj_Inputs!$C$23)*($B$5:$Z$5&lt;=V$5-1)*$B$23:$Z$23)/Proj_Inputs!$C$23</f>
        <v>-18.113337517889068</v>
      </c>
      <c r="W17" s="145" cm="1">
        <f t="array" ref="W17">SUMPRODUCT(($B$5:$Z$5&gt;=W$5-Proj_Inputs!$C$23)*($B$5:$Z$5&lt;=W$5-1)*$B$23:$Z$23)/Proj_Inputs!$C$23</f>
        <v>-18.475604268246848</v>
      </c>
      <c r="X17" s="145" cm="1">
        <f t="array" ref="X17">SUMPRODUCT(($B$5:$Z$5&gt;=X$5-Proj_Inputs!$C$23)*($B$5:$Z$5&lt;=X$5-1)*$B$23:$Z$23)/Proj_Inputs!$C$23</f>
        <v>-18.845116353611783</v>
      </c>
      <c r="Y17" s="145" cm="1">
        <f t="array" ref="Y17">SUMPRODUCT(($B$5:$Z$5&gt;=Y$5-Proj_Inputs!$C$23)*($B$5:$Z$5&lt;=Y$5-1)*$B$23:$Z$23)/Proj_Inputs!$C$23</f>
        <v>-19.22201868068402</v>
      </c>
      <c r="Z17" s="145" cm="1">
        <f t="array" ref="Z17">SUMPRODUCT(($B$5:$Z$5&gt;=Z$5-Proj_Inputs!$C$23)*($B$5:$Z$5&lt;=Z$5-1)*$B$23:$Z$23)/Proj_Inputs!$C$23</f>
        <v>-19.606459054297705</v>
      </c>
      <c r="AA17" s="464" t="s">
        <v>428</v>
      </c>
      <c r="AB17" s="419"/>
      <c r="AC17" s="419"/>
      <c r="AD17" s="419"/>
      <c r="AE17" s="465"/>
    </row>
    <row r="18" spans="1:31" x14ac:dyDescent="0.2">
      <c r="A18" s="362" t="s">
        <v>180</v>
      </c>
      <c r="B18" s="363">
        <f>B15+B16+B17</f>
        <v>0</v>
      </c>
      <c r="C18" s="363">
        <f t="shared" ref="C18:Z18" si="2">C15+C16+C17</f>
        <v>-27.012449607515343</v>
      </c>
      <c r="D18" s="363">
        <f t="shared" si="2"/>
        <v>2.9480884529876739</v>
      </c>
      <c r="E18" s="363">
        <f t="shared" si="2"/>
        <v>47.865225318428429</v>
      </c>
      <c r="F18" s="363">
        <f t="shared" si="2"/>
        <v>44.520233746365633</v>
      </c>
      <c r="G18" s="363">
        <f t="shared" si="2"/>
        <v>46.548342342861545</v>
      </c>
      <c r="H18" s="363">
        <f t="shared" si="2"/>
        <v>48.61701311128742</v>
      </c>
      <c r="I18" s="363">
        <f t="shared" si="2"/>
        <v>50.727057295081778</v>
      </c>
      <c r="J18" s="363">
        <f t="shared" si="2"/>
        <v>52.879302362552068</v>
      </c>
      <c r="K18" s="363">
        <f t="shared" si="2"/>
        <v>55.07459233137169</v>
      </c>
      <c r="L18" s="363">
        <f t="shared" si="2"/>
        <v>57.31378809956778</v>
      </c>
      <c r="M18" s="363">
        <f t="shared" si="2"/>
        <v>59.59776778312775</v>
      </c>
      <c r="N18" s="363">
        <f t="shared" si="2"/>
        <v>61.927427060358944</v>
      </c>
      <c r="O18" s="363">
        <f t="shared" si="2"/>
        <v>64.303679523134718</v>
      </c>
      <c r="P18" s="363">
        <f t="shared" si="2"/>
        <v>66.727457035166083</v>
      </c>
      <c r="Q18" s="363">
        <f t="shared" si="2"/>
        <v>69.199710097438</v>
      </c>
      <c r="R18" s="363">
        <f t="shared" si="2"/>
        <v>103.72140822095542</v>
      </c>
      <c r="S18" s="363">
        <f t="shared" si="2"/>
        <v>148.99373638537449</v>
      </c>
      <c r="T18" s="363">
        <f t="shared" si="2"/>
        <v>178.80597777974864</v>
      </c>
      <c r="U18" s="363">
        <f t="shared" si="2"/>
        <v>187.82209733534367</v>
      </c>
      <c r="V18" s="363">
        <f t="shared" si="2"/>
        <v>191.57853928205049</v>
      </c>
      <c r="W18" s="363">
        <f t="shared" si="2"/>
        <v>195.41011006769153</v>
      </c>
      <c r="X18" s="363">
        <f t="shared" si="2"/>
        <v>199.31831226904535</v>
      </c>
      <c r="Y18" s="363">
        <f t="shared" si="2"/>
        <v>203.30467851442626</v>
      </c>
      <c r="Z18" s="364">
        <f t="shared" si="2"/>
        <v>207.37077208471479</v>
      </c>
      <c r="AA18" s="464" t="s">
        <v>429</v>
      </c>
      <c r="AB18" s="419"/>
      <c r="AC18" s="419"/>
      <c r="AD18" s="419"/>
      <c r="AE18" s="465"/>
    </row>
    <row r="19" spans="1:31" x14ac:dyDescent="0.2">
      <c r="A19" s="135" t="s">
        <v>181</v>
      </c>
      <c r="B19" s="145">
        <f>-B18*Proj_Inputs!$C$24</f>
        <v>0</v>
      </c>
      <c r="C19" s="145">
        <f>-C18*Proj_Inputs!$C$24</f>
        <v>7.5986020745940657</v>
      </c>
      <c r="D19" s="145">
        <f>-D18*Proj_Inputs!$C$24</f>
        <v>-0.82929728182543261</v>
      </c>
      <c r="E19" s="145">
        <f>-E18*Proj_Inputs!$C$24</f>
        <v>-13.464487882073916</v>
      </c>
      <c r="F19" s="145">
        <f>-F18*Proj_Inputs!$C$24</f>
        <v>-12.523541752852653</v>
      </c>
      <c r="G19" s="145">
        <f>-G18*Proj_Inputs!$C$24</f>
        <v>-13.094048701046953</v>
      </c>
      <c r="H19" s="145">
        <f>-H18*Proj_Inputs!$C$24</f>
        <v>-13.675965788205151</v>
      </c>
      <c r="I19" s="145">
        <f>-I18*Proj_Inputs!$C$24</f>
        <v>-14.269521217106504</v>
      </c>
      <c r="J19" s="145">
        <f>-J18*Proj_Inputs!$C$24</f>
        <v>-14.874947754585897</v>
      </c>
      <c r="K19" s="145">
        <f>-K18*Proj_Inputs!$C$24</f>
        <v>-15.492482822814857</v>
      </c>
      <c r="L19" s="145">
        <f>-L18*Proj_Inputs!$C$24</f>
        <v>-16.122368592408417</v>
      </c>
      <c r="M19" s="145">
        <f>-M18*Proj_Inputs!$C$24</f>
        <v>-16.764852077393837</v>
      </c>
      <c r="N19" s="145">
        <f>-N18*Proj_Inputs!$C$24</f>
        <v>-17.420185232078971</v>
      </c>
      <c r="O19" s="145">
        <f>-O18*Proj_Inputs!$C$24</f>
        <v>-18.088625049857797</v>
      </c>
      <c r="P19" s="145">
        <f>-P18*Proj_Inputs!$C$24</f>
        <v>-18.770433663992218</v>
      </c>
      <c r="Q19" s="145">
        <f>-Q18*Proj_Inputs!$C$24</f>
        <v>-19.46587845040931</v>
      </c>
      <c r="R19" s="145">
        <f>-R18*Proj_Inputs!$C$24</f>
        <v>-29.176832132554761</v>
      </c>
      <c r="S19" s="145">
        <f>-S18*Proj_Inputs!$C$24</f>
        <v>-41.911938045205844</v>
      </c>
      <c r="T19" s="145">
        <f>-T18*Proj_Inputs!$C$24</f>
        <v>-50.298121549443294</v>
      </c>
      <c r="U19" s="145">
        <f>-U18*Proj_Inputs!$C$24</f>
        <v>-52.834355980432171</v>
      </c>
      <c r="V19" s="145">
        <f>-V18*Proj_Inputs!$C$24</f>
        <v>-53.891043100040804</v>
      </c>
      <c r="W19" s="145">
        <f>-W18*Proj_Inputs!$C$24</f>
        <v>-54.968863962041624</v>
      </c>
      <c r="X19" s="145">
        <f>-X18*Proj_Inputs!$C$24</f>
        <v>-56.068241241282458</v>
      </c>
      <c r="Y19" s="145">
        <f>-Y18*Proj_Inputs!$C$24</f>
        <v>-57.189606066108105</v>
      </c>
      <c r="Z19" s="145">
        <f>-Z18*Proj_Inputs!$C$24</f>
        <v>-58.333398187430269</v>
      </c>
      <c r="AA19" s="466" t="s">
        <v>430</v>
      </c>
      <c r="AB19" s="465"/>
      <c r="AC19" s="465"/>
      <c r="AD19" s="465"/>
      <c r="AE19" s="465"/>
    </row>
    <row r="20" spans="1:31" x14ac:dyDescent="0.2">
      <c r="A20" s="135" t="s">
        <v>183</v>
      </c>
      <c r="B20" s="145">
        <f>-(B16+B17)</f>
        <v>0</v>
      </c>
      <c r="C20" s="145">
        <f t="shared" ref="C20:Z20" si="3">-(C16+C17)</f>
        <v>32</v>
      </c>
      <c r="D20" s="145">
        <f t="shared" si="3"/>
        <v>74.700196078431375</v>
      </c>
      <c r="E20" s="145">
        <f t="shared" si="3"/>
        <v>101.88886274509804</v>
      </c>
      <c r="F20" s="145">
        <f t="shared" si="3"/>
        <v>108.22893607843137</v>
      </c>
      <c r="G20" s="145">
        <f t="shared" si="3"/>
        <v>109.25581087843138</v>
      </c>
      <c r="H20" s="145">
        <f t="shared" si="3"/>
        <v>110.30322317443138</v>
      </c>
      <c r="I20" s="145">
        <f t="shared" si="3"/>
        <v>111.37158371635138</v>
      </c>
      <c r="J20" s="145">
        <f t="shared" si="3"/>
        <v>112.46131146910977</v>
      </c>
      <c r="K20" s="145">
        <f t="shared" si="3"/>
        <v>113.57283377692335</v>
      </c>
      <c r="L20" s="145">
        <f t="shared" si="3"/>
        <v>114.70658653089319</v>
      </c>
      <c r="M20" s="145">
        <f t="shared" si="3"/>
        <v>115.86301433994242</v>
      </c>
      <c r="N20" s="145">
        <f t="shared" si="3"/>
        <v>117.04257070517264</v>
      </c>
      <c r="O20" s="145">
        <f t="shared" si="3"/>
        <v>118.24571819770748</v>
      </c>
      <c r="P20" s="145">
        <f t="shared" si="3"/>
        <v>119.47292864009299</v>
      </c>
      <c r="Q20" s="145">
        <f t="shared" si="3"/>
        <v>120.72468329132623</v>
      </c>
      <c r="R20" s="145">
        <f t="shared" si="3"/>
        <v>90.001473035584127</v>
      </c>
      <c r="S20" s="145">
        <f t="shared" si="3"/>
        <v>48.6036024962958</v>
      </c>
      <c r="T20" s="145">
        <f t="shared" si="3"/>
        <v>22.743307879555044</v>
      </c>
      <c r="U20" s="145">
        <f t="shared" si="3"/>
        <v>17.758174037146148</v>
      </c>
      <c r="V20" s="145">
        <f t="shared" si="3"/>
        <v>18.113337517889068</v>
      </c>
      <c r="W20" s="145">
        <f t="shared" si="3"/>
        <v>18.475604268246848</v>
      </c>
      <c r="X20" s="145">
        <f t="shared" si="3"/>
        <v>18.845116353611783</v>
      </c>
      <c r="Y20" s="145">
        <f t="shared" si="3"/>
        <v>19.22201868068402</v>
      </c>
      <c r="Z20" s="145">
        <f t="shared" si="3"/>
        <v>19.606459054297705</v>
      </c>
      <c r="AA20" s="464" t="s">
        <v>184</v>
      </c>
      <c r="AB20" s="419"/>
      <c r="AC20" s="419"/>
      <c r="AD20" s="419"/>
      <c r="AE20" s="465"/>
    </row>
    <row r="21" spans="1:31" x14ac:dyDescent="0.2">
      <c r="A21" s="365" t="s">
        <v>185</v>
      </c>
      <c r="B21" s="366">
        <f>B18+B19+B20</f>
        <v>0</v>
      </c>
      <c r="C21" s="366">
        <f t="shared" ref="C21:Z21" si="4">C18+C19+C20</f>
        <v>12.586152467078723</v>
      </c>
      <c r="D21" s="366">
        <f t="shared" si="4"/>
        <v>76.818987249593619</v>
      </c>
      <c r="E21" s="366">
        <f t="shared" si="4"/>
        <v>136.28960018145256</v>
      </c>
      <c r="F21" s="366">
        <f t="shared" si="4"/>
        <v>140.22562807194436</v>
      </c>
      <c r="G21" s="366">
        <f t="shared" si="4"/>
        <v>142.71010452024598</v>
      </c>
      <c r="H21" s="366">
        <f t="shared" si="4"/>
        <v>145.24427049751364</v>
      </c>
      <c r="I21" s="366">
        <f t="shared" si="4"/>
        <v>147.82911979432666</v>
      </c>
      <c r="J21" s="366">
        <f t="shared" si="4"/>
        <v>150.46566607707595</v>
      </c>
      <c r="K21" s="366">
        <f t="shared" si="4"/>
        <v>153.15494328548019</v>
      </c>
      <c r="L21" s="366">
        <f t="shared" si="4"/>
        <v>155.89800603805256</v>
      </c>
      <c r="M21" s="366">
        <f t="shared" si="4"/>
        <v>158.69593004567633</v>
      </c>
      <c r="N21" s="366">
        <f t="shared" si="4"/>
        <v>161.54981253345261</v>
      </c>
      <c r="O21" s="366">
        <f t="shared" si="4"/>
        <v>164.4607726709844</v>
      </c>
      <c r="P21" s="366">
        <f t="shared" si="4"/>
        <v>167.42995201126683</v>
      </c>
      <c r="Q21" s="366">
        <f t="shared" si="4"/>
        <v>170.45851493835494</v>
      </c>
      <c r="R21" s="366">
        <f t="shared" si="4"/>
        <v>164.5460491239848</v>
      </c>
      <c r="S21" s="366">
        <f t="shared" si="4"/>
        <v>155.68540083646445</v>
      </c>
      <c r="T21" s="366">
        <f t="shared" si="4"/>
        <v>151.25116410986038</v>
      </c>
      <c r="U21" s="366">
        <f t="shared" si="4"/>
        <v>152.74591539205764</v>
      </c>
      <c r="V21" s="366">
        <f t="shared" si="4"/>
        <v>155.80083369989876</v>
      </c>
      <c r="W21" s="366">
        <f t="shared" si="4"/>
        <v>158.91685037389675</v>
      </c>
      <c r="X21" s="366">
        <f t="shared" si="4"/>
        <v>162.09518738137467</v>
      </c>
      <c r="Y21" s="366">
        <f t="shared" si="4"/>
        <v>165.33709112900218</v>
      </c>
      <c r="Z21" s="367">
        <f t="shared" si="4"/>
        <v>168.64383295158223</v>
      </c>
      <c r="AA21" s="464" t="s">
        <v>186</v>
      </c>
      <c r="AB21" s="419"/>
      <c r="AC21" s="419"/>
      <c r="AD21" s="419"/>
      <c r="AE21" s="465"/>
    </row>
    <row r="22" spans="1:31" x14ac:dyDescent="0.2">
      <c r="A22" s="135" t="s">
        <v>431</v>
      </c>
      <c r="B22" s="145">
        <f>-Proj_Inputs!$C$6*B6</f>
        <v>-480</v>
      </c>
      <c r="C22" s="145">
        <f>-Proj_Inputs!$C$6*C6</f>
        <v>-640</v>
      </c>
      <c r="D22" s="145">
        <f>-Proj_Inputs!$C$6*D6</f>
        <v>-400</v>
      </c>
      <c r="E22" s="145">
        <f>-Proj_Inputs!$C$6*E6</f>
        <v>-80</v>
      </c>
      <c r="F22" s="145">
        <f>-Proj_Inputs!$C$6*F6</f>
        <v>0</v>
      </c>
      <c r="G22" s="145">
        <f>-Proj_Inputs!$C$6*G6</f>
        <v>0</v>
      </c>
      <c r="H22" s="145">
        <f>-Proj_Inputs!$C$6*H6</f>
        <v>0</v>
      </c>
      <c r="I22" s="145">
        <f>-Proj_Inputs!$C$6*I6</f>
        <v>0</v>
      </c>
      <c r="J22" s="145">
        <f>-Proj_Inputs!$C$6*J6</f>
        <v>0</v>
      </c>
      <c r="K22" s="145">
        <f>-Proj_Inputs!$C$6*K6</f>
        <v>0</v>
      </c>
      <c r="L22" s="145">
        <f>-Proj_Inputs!$C$6*L6</f>
        <v>0</v>
      </c>
      <c r="M22" s="145">
        <f>-Proj_Inputs!$C$6*M6</f>
        <v>0</v>
      </c>
      <c r="N22" s="145">
        <f>-Proj_Inputs!$C$6*N6</f>
        <v>0</v>
      </c>
      <c r="O22" s="145">
        <f>-Proj_Inputs!$C$6*O6</f>
        <v>0</v>
      </c>
      <c r="P22" s="145">
        <f>-Proj_Inputs!$C$6*P6</f>
        <v>0</v>
      </c>
      <c r="Q22" s="145">
        <f>-Proj_Inputs!$C$6*Q6</f>
        <v>0</v>
      </c>
      <c r="R22" s="145">
        <f>-Proj_Inputs!$C$6*R6</f>
        <v>0</v>
      </c>
      <c r="S22" s="145">
        <f>-Proj_Inputs!$C$6*S6</f>
        <v>0</v>
      </c>
      <c r="T22" s="145">
        <f>-Proj_Inputs!$C$6*T6</f>
        <v>0</v>
      </c>
      <c r="U22" s="145">
        <f>-Proj_Inputs!$C$6*U6</f>
        <v>0</v>
      </c>
      <c r="V22" s="145">
        <f>-Proj_Inputs!$C$6*V6</f>
        <v>0</v>
      </c>
      <c r="W22" s="145">
        <f>-Proj_Inputs!$C$6*W6</f>
        <v>0</v>
      </c>
      <c r="X22" s="145">
        <f>-Proj_Inputs!$C$6*X6</f>
        <v>0</v>
      </c>
      <c r="Y22" s="145">
        <f>-Proj_Inputs!$C$6*Y6</f>
        <v>0</v>
      </c>
      <c r="Z22" s="145">
        <f>-Proj_Inputs!$C$6*Z6</f>
        <v>0</v>
      </c>
      <c r="AA22" s="466" t="s">
        <v>432</v>
      </c>
      <c r="AB22" s="465"/>
      <c r="AC22" s="465"/>
      <c r="AD22" s="465"/>
      <c r="AE22" s="465"/>
    </row>
    <row r="23" spans="1:31" x14ac:dyDescent="0.2">
      <c r="A23" s="135" t="s">
        <v>433</v>
      </c>
      <c r="B23" s="145">
        <f>-B14*Proj_Inputs!$C$22</f>
        <v>0</v>
      </c>
      <c r="C23" s="145">
        <f>-C14*Proj_Inputs!$C$22</f>
        <v>-0.50294117647058822</v>
      </c>
      <c r="D23" s="145">
        <f>-D14*Proj_Inputs!$C$22</f>
        <v>-7.83</v>
      </c>
      <c r="E23" s="145">
        <f>-E14*Proj_Inputs!$C$22</f>
        <v>-15.101100000000002</v>
      </c>
      <c r="F23" s="145">
        <f>-F14*Proj_Inputs!$C$22</f>
        <v>-15.403122000000002</v>
      </c>
      <c r="G23" s="145">
        <f>-G14*Proj_Inputs!$C$22</f>
        <v>-15.71118444</v>
      </c>
      <c r="H23" s="145">
        <f>-H14*Proj_Inputs!$C$22</f>
        <v>-16.025408128799999</v>
      </c>
      <c r="I23" s="145">
        <f>-I14*Proj_Inputs!$C$22</f>
        <v>-16.345916291376</v>
      </c>
      <c r="J23" s="145">
        <f>-J14*Proj_Inputs!$C$22</f>
        <v>-16.67283461720352</v>
      </c>
      <c r="K23" s="145">
        <f>-K14*Proj_Inputs!$C$22</f>
        <v>-17.006291309547588</v>
      </c>
      <c r="L23" s="145">
        <f>-L14*Proj_Inputs!$C$22</f>
        <v>-17.346417135738541</v>
      </c>
      <c r="M23" s="145">
        <f>-M14*Proj_Inputs!$C$22</f>
        <v>-17.693345478453313</v>
      </c>
      <c r="N23" s="145">
        <f>-N14*Proj_Inputs!$C$22</f>
        <v>-18.04721238802238</v>
      </c>
      <c r="O23" s="145">
        <f>-O14*Proj_Inputs!$C$22</f>
        <v>-18.408156635782824</v>
      </c>
      <c r="P23" s="145">
        <f>-P14*Proj_Inputs!$C$22</f>
        <v>-18.776319768498485</v>
      </c>
      <c r="Q23" s="145">
        <f>-Q14*Proj_Inputs!$C$22</f>
        <v>-19.151846163868452</v>
      </c>
      <c r="R23" s="145">
        <f>-R14*Proj_Inputs!$C$22</f>
        <v>-19.534883087145822</v>
      </c>
      <c r="S23" s="145">
        <f>-S14*Proj_Inputs!$C$22</f>
        <v>-19.925580748888734</v>
      </c>
      <c r="T23" s="145">
        <f>-T14*Proj_Inputs!$C$22</f>
        <v>-20.324092363866512</v>
      </c>
      <c r="U23" s="145">
        <f>-U14*Proj_Inputs!$C$22</f>
        <v>-20.730574211143843</v>
      </c>
      <c r="V23" s="145">
        <f>-V14*Proj_Inputs!$C$22</f>
        <v>-21.145185695366717</v>
      </c>
      <c r="W23" s="145">
        <f>-W14*Proj_Inputs!$C$22</f>
        <v>-21.568089409274052</v>
      </c>
      <c r="X23" s="145">
        <f>-X14*Proj_Inputs!$C$22</f>
        <v>-21.999451197459535</v>
      </c>
      <c r="Y23" s="145">
        <f>-Y14*Proj_Inputs!$C$22</f>
        <v>-22.439440221408724</v>
      </c>
      <c r="Z23" s="145">
        <f>-Z14*Proj_Inputs!$C$22</f>
        <v>-22.8882290258369</v>
      </c>
      <c r="AA23" s="466" t="s">
        <v>434</v>
      </c>
      <c r="AB23" s="465"/>
      <c r="AC23" s="465"/>
      <c r="AD23" s="465"/>
      <c r="AE23" s="465"/>
    </row>
    <row r="24" spans="1:31" x14ac:dyDescent="0.2">
      <c r="A24" s="135" t="s">
        <v>101</v>
      </c>
      <c r="B24" s="145">
        <f>B14*Proj_Inputs!$C$25</f>
        <v>0</v>
      </c>
      <c r="C24" s="145">
        <f>C14*Proj_Inputs!$C$25</f>
        <v>7.9104381489166675</v>
      </c>
      <c r="D24" s="145">
        <f>D14*Proj_Inputs!$C$25</f>
        <v>123.15303181313421</v>
      </c>
      <c r="E24" s="145">
        <f>E14*Proj_Inputs!$C$25</f>
        <v>237.51548514857231</v>
      </c>
      <c r="F24" s="145">
        <f>F14*Proj_Inputs!$C$25</f>
        <v>242.26579485154375</v>
      </c>
      <c r="G24" s="145">
        <f>G14*Proj_Inputs!$C$25</f>
        <v>247.11111074857462</v>
      </c>
      <c r="H24" s="145">
        <f>H14*Proj_Inputs!$C$25</f>
        <v>252.0533329635461</v>
      </c>
      <c r="I24" s="145">
        <f>I14*Proj_Inputs!$C$25</f>
        <v>257.09439962281704</v>
      </c>
      <c r="J24" s="145">
        <f>J14*Proj_Inputs!$C$25</f>
        <v>262.2362876152734</v>
      </c>
      <c r="K24" s="145">
        <f>K14*Proj_Inputs!$C$25</f>
        <v>267.48101336757878</v>
      </c>
      <c r="L24" s="145">
        <f>L14*Proj_Inputs!$C$25</f>
        <v>272.83063363493039</v>
      </c>
      <c r="M24" s="145">
        <f>M14*Proj_Inputs!$C$25</f>
        <v>278.287246307629</v>
      </c>
      <c r="N24" s="145">
        <f>N14*Proj_Inputs!$C$25</f>
        <v>283.85299123378161</v>
      </c>
      <c r="O24" s="145">
        <f>O14*Proj_Inputs!$C$25</f>
        <v>289.53005105845716</v>
      </c>
      <c r="P24" s="145">
        <f>P14*Proj_Inputs!$C$25</f>
        <v>295.32065207962637</v>
      </c>
      <c r="Q24" s="145">
        <f>Q14*Proj_Inputs!$C$25</f>
        <v>301.22706512121886</v>
      </c>
      <c r="R24" s="145">
        <f>R14*Proj_Inputs!$C$25</f>
        <v>307.2516064236433</v>
      </c>
      <c r="S24" s="145">
        <f>S14*Proj_Inputs!$C$25</f>
        <v>313.39663855211609</v>
      </c>
      <c r="T24" s="145">
        <f>T14*Proj_Inputs!$C$25</f>
        <v>319.66457132315844</v>
      </c>
      <c r="U24" s="145">
        <f>U14*Proj_Inputs!$C$25</f>
        <v>326.05786274962162</v>
      </c>
      <c r="V24" s="145">
        <f>V14*Proj_Inputs!$C$25</f>
        <v>332.57902000461405</v>
      </c>
      <c r="W24" s="145">
        <f>W14*Proj_Inputs!$C$25</f>
        <v>339.23060040470631</v>
      </c>
      <c r="X24" s="145">
        <f>X14*Proj_Inputs!$C$25</f>
        <v>346.01521241280045</v>
      </c>
      <c r="Y24" s="145">
        <f>Y14*Proj_Inputs!$C$25</f>
        <v>352.9355166610564</v>
      </c>
      <c r="Z24" s="145">
        <f>Z14*Proj_Inputs!$C$25</f>
        <v>359.9942269942776</v>
      </c>
      <c r="AA24" s="466" t="s">
        <v>435</v>
      </c>
      <c r="AB24" s="465"/>
      <c r="AC24" s="465"/>
      <c r="AD24" s="465"/>
      <c r="AE24" s="465"/>
    </row>
    <row r="25" spans="1:31" x14ac:dyDescent="0.2">
      <c r="A25" s="135" t="s">
        <v>189</v>
      </c>
      <c r="B25" s="145">
        <f>-B24</f>
        <v>0</v>
      </c>
      <c r="C25" s="145">
        <f>-(C24-B24)</f>
        <v>-7.9104381489166675</v>
      </c>
      <c r="D25" s="145">
        <f t="shared" ref="D25:Z25" si="5">-(D24-C24)</f>
        <v>-115.24259366421754</v>
      </c>
      <c r="E25" s="145">
        <f t="shared" si="5"/>
        <v>-114.3624533354381</v>
      </c>
      <c r="F25" s="145">
        <f t="shared" si="5"/>
        <v>-4.7503097029714354</v>
      </c>
      <c r="G25" s="145">
        <f t="shared" si="5"/>
        <v>-4.8453158970308721</v>
      </c>
      <c r="H25" s="145">
        <f t="shared" si="5"/>
        <v>-4.9422222149714798</v>
      </c>
      <c r="I25" s="145">
        <f t="shared" si="5"/>
        <v>-5.041066659270939</v>
      </c>
      <c r="J25" s="145">
        <f t="shared" si="5"/>
        <v>-5.1418879924563612</v>
      </c>
      <c r="K25" s="145">
        <f t="shared" si="5"/>
        <v>-5.244725752305385</v>
      </c>
      <c r="L25" s="145">
        <f t="shared" si="5"/>
        <v>-5.3496202673516109</v>
      </c>
      <c r="M25" s="145">
        <f t="shared" si="5"/>
        <v>-5.4566126726986113</v>
      </c>
      <c r="N25" s="145">
        <f t="shared" si="5"/>
        <v>-5.565744926152604</v>
      </c>
      <c r="O25" s="145">
        <f t="shared" si="5"/>
        <v>-5.6770598246755526</v>
      </c>
      <c r="P25" s="145">
        <f t="shared" si="5"/>
        <v>-5.7906010211692092</v>
      </c>
      <c r="Q25" s="145">
        <f t="shared" si="5"/>
        <v>-5.9064130415924865</v>
      </c>
      <c r="R25" s="145">
        <f t="shared" si="5"/>
        <v>-6.0245413024244385</v>
      </c>
      <c r="S25" s="145">
        <f t="shared" si="5"/>
        <v>-6.145032128472792</v>
      </c>
      <c r="T25" s="145">
        <f t="shared" si="5"/>
        <v>-6.2679327710423536</v>
      </c>
      <c r="U25" s="145">
        <f t="shared" si="5"/>
        <v>-6.3932914264631791</v>
      </c>
      <c r="V25" s="145">
        <f t="shared" si="5"/>
        <v>-6.5211572549924313</v>
      </c>
      <c r="W25" s="145">
        <f t="shared" si="5"/>
        <v>-6.6515804000922572</v>
      </c>
      <c r="X25" s="145">
        <f t="shared" si="5"/>
        <v>-6.7846120080941432</v>
      </c>
      <c r="Y25" s="145">
        <f t="shared" si="5"/>
        <v>-6.9203042482559454</v>
      </c>
      <c r="Z25" s="145">
        <f t="shared" si="5"/>
        <v>-7.0587103332211996</v>
      </c>
      <c r="AA25" s="466" t="s">
        <v>436</v>
      </c>
      <c r="AB25" s="465"/>
      <c r="AC25" s="465"/>
      <c r="AD25" s="465"/>
      <c r="AE25" s="465"/>
    </row>
    <row r="26" spans="1:31" x14ac:dyDescent="0.2">
      <c r="A26" s="135" t="s">
        <v>437</v>
      </c>
      <c r="B26" s="145">
        <f>IF(B$5=Proj_Inputs!$C$27,B24-SUM($B$22:$Z$22)-SUM($B$23:$Z$23)+SUM($B$16:$Z$16)+SUM($B$17:$Z$17),0)</f>
        <v>0</v>
      </c>
      <c r="C26" s="145">
        <f>IF(C$5=Proj_Inputs!$C$27,C24-SUM($B$22:$Z$22)-SUM($B$23:$Z$23)+SUM($B$16:$Z$16)+SUM($B$17:$Z$17),0)</f>
        <v>0</v>
      </c>
      <c r="D26" s="145">
        <f>IF(D$5=Proj_Inputs!$C$27,D24-SUM($B$22:$Z$22)-SUM($B$23:$Z$23)+SUM($B$16:$Z$16)+SUM($B$17:$Z$17),0)</f>
        <v>0</v>
      </c>
      <c r="E26" s="145">
        <f>IF(E$5=Proj_Inputs!$C$27,E24-SUM($B$22:$Z$22)-SUM($B$23:$Z$23)+SUM($B$16:$Z$16)+SUM($B$17:$Z$17),0)</f>
        <v>0</v>
      </c>
      <c r="F26" s="145">
        <f>IF(F$5=Proj_Inputs!$C$27,F24-SUM($B$22:$Z$22)-SUM($B$23:$Z$23)+SUM($B$16:$Z$16)+SUM($B$17:$Z$17),0)</f>
        <v>0</v>
      </c>
      <c r="G26" s="145">
        <f>IF(G$5=Proj_Inputs!$C$27,G24-SUM($B$22:$Z$22)-SUM($B$23:$Z$23)+SUM($B$16:$Z$16)+SUM($B$17:$Z$17),0)</f>
        <v>0</v>
      </c>
      <c r="H26" s="145">
        <f>IF(H$5=Proj_Inputs!$C$27,H24-SUM($B$22:$Z$22)-SUM($B$23:$Z$23)+SUM($B$16:$Z$16)+SUM($B$17:$Z$17),0)</f>
        <v>0</v>
      </c>
      <c r="I26" s="145">
        <f>IF(I$5=Proj_Inputs!$C$27,I24-SUM($B$22:$Z$22)-SUM($B$23:$Z$23)+SUM($B$16:$Z$16)+SUM($B$17:$Z$17),0)</f>
        <v>0</v>
      </c>
      <c r="J26" s="145">
        <f>IF(J$5=Proj_Inputs!$C$27,J24-SUM($B$22:$Z$22)-SUM($B$23:$Z$23)+SUM($B$16:$Z$16)+SUM($B$17:$Z$17),0)</f>
        <v>0</v>
      </c>
      <c r="K26" s="145">
        <f>IF(K$5=Proj_Inputs!$C$27,K24-SUM($B$22:$Z$22)-SUM($B$23:$Z$23)+SUM($B$16:$Z$16)+SUM($B$17:$Z$17),0)</f>
        <v>0</v>
      </c>
      <c r="L26" s="145">
        <f>IF(L$5=Proj_Inputs!$C$27,L24-SUM($B$22:$Z$22)-SUM($B$23:$Z$23)+SUM($B$16:$Z$16)+SUM($B$17:$Z$17),0)</f>
        <v>0</v>
      </c>
      <c r="M26" s="145">
        <f>IF(M$5=Proj_Inputs!$C$27,M24-SUM($B$22:$Z$22)-SUM($B$23:$Z$23)+SUM($B$16:$Z$16)+SUM($B$17:$Z$17),0)</f>
        <v>0</v>
      </c>
      <c r="N26" s="145">
        <f>IF(N$5=Proj_Inputs!$C$27,N24-SUM($B$22:$Z$22)-SUM($B$23:$Z$23)+SUM($B$16:$Z$16)+SUM($B$17:$Z$17),0)</f>
        <v>0</v>
      </c>
      <c r="O26" s="145">
        <f>IF(O$5=Proj_Inputs!$C$27,O24-SUM($B$22:$Z$22)-SUM($B$23:$Z$23)+SUM($B$16:$Z$16)+SUM($B$17:$Z$17),0)</f>
        <v>0</v>
      </c>
      <c r="P26" s="145">
        <f>IF(P$5=Proj_Inputs!$C$27,P24-SUM($B$22:$Z$22)-SUM($B$23:$Z$23)+SUM($B$16:$Z$16)+SUM($B$17:$Z$17),0)</f>
        <v>0</v>
      </c>
      <c r="Q26" s="145">
        <f>IF(Q$5=Proj_Inputs!$C$27,Q24-SUM($B$22:$Z$22)-SUM($B$23:$Z$23)+SUM($B$16:$Z$16)+SUM($B$17:$Z$17),0)</f>
        <v>0</v>
      </c>
      <c r="R26" s="145">
        <f>IF(R$5=Proj_Inputs!$C$27,R24-SUM($B$22:$Z$22)-SUM($B$23:$Z$23)+SUM($B$16:$Z$16)+SUM($B$17:$Z$17),0)</f>
        <v>0</v>
      </c>
      <c r="S26" s="145">
        <f>IF(S$5=Proj_Inputs!$C$27,S24-SUM($B$22:$Z$22)-SUM($B$23:$Z$23)+SUM($B$16:$Z$16)+SUM($B$17:$Z$17),0)</f>
        <v>0</v>
      </c>
      <c r="T26" s="145">
        <f>IF(T$5=Proj_Inputs!$C$27,T24-SUM($B$22:$Z$22)-SUM($B$23:$Z$23)+SUM($B$16:$Z$16)+SUM($B$17:$Z$17),0)</f>
        <v>0</v>
      </c>
      <c r="U26" s="145">
        <f>IF(U$5=Proj_Inputs!$C$27,U24-SUM($B$22:$Z$22)-SUM($B$23:$Z$23)+SUM($B$16:$Z$16)+SUM($B$17:$Z$17),0)</f>
        <v>0</v>
      </c>
      <c r="V26" s="145">
        <f>IF(V$5=Proj_Inputs!$C$27,V24-SUM($B$22:$Z$22)-SUM($B$23:$Z$23)+SUM($B$16:$Z$16)+SUM($B$17:$Z$17),0)</f>
        <v>0</v>
      </c>
      <c r="W26" s="145">
        <f>IF(W$5=Proj_Inputs!$C$27,W24-SUM($B$22:$Z$22)-SUM($B$23:$Z$23)+SUM($B$16:$Z$16)+SUM($B$17:$Z$17),0)</f>
        <v>0</v>
      </c>
      <c r="X26" s="145">
        <f>IF(X$5=Proj_Inputs!$C$27,X24-SUM($B$22:$Z$22)-SUM($B$23:$Z$23)+SUM($B$16:$Z$16)+SUM($B$17:$Z$17),0)</f>
        <v>0</v>
      </c>
      <c r="Y26" s="145">
        <f>IF(Y$5=Proj_Inputs!$C$27,Y24-SUM($B$22:$Z$22)-SUM($B$23:$Z$23)+SUM($B$16:$Z$16)+SUM($B$17:$Z$17),0)</f>
        <v>0</v>
      </c>
      <c r="Z26" s="145">
        <f>IF(Z$5=Proj_Inputs!$C$27,Z24-SUM($B$22:$Z$22)-SUM($B$23:$Z$23)+SUM($B$16:$Z$16)+SUM($B$17:$Z$17),0)</f>
        <v>527.36449554277635</v>
      </c>
      <c r="AA26" s="464" t="s">
        <v>438</v>
      </c>
      <c r="AB26" s="419"/>
      <c r="AC26" s="419"/>
      <c r="AD26" s="419"/>
      <c r="AE26" s="465"/>
    </row>
    <row r="27" spans="1:31" x14ac:dyDescent="0.2">
      <c r="A27" s="365" t="s">
        <v>175</v>
      </c>
      <c r="B27" s="366">
        <f>B21+B22+B23+B25+B26</f>
        <v>-480</v>
      </c>
      <c r="C27" s="366">
        <f t="shared" ref="C27:Z27" si="6">C21+C22+C23+C25+C26</f>
        <v>-635.82722685830856</v>
      </c>
      <c r="D27" s="366">
        <f t="shared" si="6"/>
        <v>-446.25360641462385</v>
      </c>
      <c r="E27" s="366">
        <f t="shared" si="6"/>
        <v>-73.173953153985551</v>
      </c>
      <c r="F27" s="366">
        <f t="shared" si="6"/>
        <v>120.07219636897293</v>
      </c>
      <c r="G27" s="366">
        <f t="shared" si="6"/>
        <v>122.15360418321511</v>
      </c>
      <c r="H27" s="366">
        <f t="shared" si="6"/>
        <v>124.27664015374216</v>
      </c>
      <c r="I27" s="366">
        <f t="shared" si="6"/>
        <v>126.44213684367972</v>
      </c>
      <c r="J27" s="366">
        <f t="shared" si="6"/>
        <v>128.65094346741608</v>
      </c>
      <c r="K27" s="366">
        <f t="shared" si="6"/>
        <v>130.90392622362722</v>
      </c>
      <c r="L27" s="366">
        <f t="shared" si="6"/>
        <v>133.20196863496241</v>
      </c>
      <c r="M27" s="366">
        <f t="shared" si="6"/>
        <v>135.5459718945244</v>
      </c>
      <c r="N27" s="366">
        <f t="shared" si="6"/>
        <v>137.93685521927762</v>
      </c>
      <c r="O27" s="366">
        <f t="shared" si="6"/>
        <v>140.37555621052601</v>
      </c>
      <c r="P27" s="366">
        <f t="shared" si="6"/>
        <v>142.86303122159913</v>
      </c>
      <c r="Q27" s="366">
        <f t="shared" si="6"/>
        <v>145.40025573289401</v>
      </c>
      <c r="R27" s="366">
        <f t="shared" si="6"/>
        <v>138.98662473441453</v>
      </c>
      <c r="S27" s="366">
        <f t="shared" si="6"/>
        <v>129.61478795910293</v>
      </c>
      <c r="T27" s="366">
        <f t="shared" si="6"/>
        <v>124.65913897495153</v>
      </c>
      <c r="U27" s="366">
        <f t="shared" si="6"/>
        <v>125.62204975445061</v>
      </c>
      <c r="V27" s="366">
        <f t="shared" si="6"/>
        <v>128.13449074953962</v>
      </c>
      <c r="W27" s="366">
        <f t="shared" si="6"/>
        <v>130.69718056453044</v>
      </c>
      <c r="X27" s="366">
        <f t="shared" si="6"/>
        <v>133.31112417582099</v>
      </c>
      <c r="Y27" s="366">
        <f t="shared" si="6"/>
        <v>135.97734665933751</v>
      </c>
      <c r="Z27" s="367">
        <f t="shared" si="6"/>
        <v>666.06138913530049</v>
      </c>
      <c r="AA27" s="464" t="s">
        <v>439</v>
      </c>
      <c r="AB27" s="419"/>
      <c r="AC27" s="419"/>
      <c r="AD27" s="419"/>
      <c r="AE27" s="465"/>
    </row>
    <row r="28" spans="1:31" x14ac:dyDescent="0.2">
      <c r="A28" s="135" t="s">
        <v>191</v>
      </c>
      <c r="B28" s="168">
        <f>1/(1+Proj_Inputs!$C$26)^B$5</f>
        <v>0.9444623692203139</v>
      </c>
      <c r="C28" s="168">
        <f>1/(1+Proj_Inputs!$C$26)^C$5</f>
        <v>0.89200916687324872</v>
      </c>
      <c r="D28" s="168">
        <f>1/(1+Proj_Inputs!$C$26)^D$5</f>
        <v>0.84246909111134682</v>
      </c>
      <c r="E28" s="168">
        <f>1/(1+Proj_Inputs!$C$26)^E$5</f>
        <v>0.79568035378590729</v>
      </c>
      <c r="F28" s="168">
        <f>1/(1+Proj_Inputs!$C$26)^F$5</f>
        <v>0.75149015207869552</v>
      </c>
      <c r="G28" s="168">
        <f>1/(1+Proj_Inputs!$C$26)^G$5</f>
        <v>0.70975416947797898</v>
      </c>
      <c r="H28" s="168">
        <f>1/(1+Proj_Inputs!$C$26)^H$5</f>
        <v>0.67033610446916814</v>
      </c>
      <c r="I28" s="168">
        <f>1/(1+Proj_Inputs!$C$26)^I$5</f>
        <v>0.63310722540086661</v>
      </c>
      <c r="J28" s="168">
        <f>1/(1+Proj_Inputs!$C$26)^J$5</f>
        <v>0.59794595007260176</v>
      </c>
      <c r="K28" s="168">
        <f>1/(1+Proj_Inputs!$C$26)^K$5</f>
        <v>0.56473744867126108</v>
      </c>
      <c r="L28" s="168">
        <f>1/(1+Proj_Inputs!$C$26)^L$5</f>
        <v>0.53337326875949465</v>
      </c>
      <c r="M28" s="168">
        <f>1/(1+Proj_Inputs!$C$26)^M$5</f>
        <v>0.50375098109137562</v>
      </c>
      <c r="N28" s="168">
        <f>1/(1+Proj_Inputs!$C$26)^N$5</f>
        <v>0.47577384509861814</v>
      </c>
      <c r="O28" s="168">
        <f>1/(1+Proj_Inputs!$C$26)^O$5</f>
        <v>0.44935049295489971</v>
      </c>
      <c r="P28" s="168">
        <f>1/(1+Proj_Inputs!$C$26)^P$5</f>
        <v>0.4243946311865005</v>
      </c>
      <c r="Q28" s="168">
        <f>1/(1+Proj_Inputs!$C$26)^Q$5</f>
        <v>0.40082475885478369</v>
      </c>
      <c r="R28" s="168">
        <f>1/(1+Proj_Inputs!$C$26)^R$5</f>
        <v>0.37856390139015</v>
      </c>
      <c r="S28" s="168">
        <f>1/(1+Proj_Inputs!$C$26)^S$5</f>
        <v>0.35753935920822638</v>
      </c>
      <c r="T28" s="168">
        <f>1/(1+Proj_Inputs!$C$26)^T$5</f>
        <v>0.3376824702873143</v>
      </c>
      <c r="U28" s="168">
        <f>1/(1+Proj_Inputs!$C$26)^U$5</f>
        <v>0.31892838593172523</v>
      </c>
      <c r="V28" s="168">
        <f>1/(1+Proj_Inputs!$C$26)^V$5</f>
        <v>0.30121585898868786</v>
      </c>
      <c r="W28" s="168">
        <f>1/(1+Proj_Inputs!$C$26)^W$5</f>
        <v>0.28448704382718815</v>
      </c>
      <c r="X28" s="168">
        <f>1/(1+Proj_Inputs!$C$26)^X$5</f>
        <v>0.26868730742550939</v>
      </c>
      <c r="Y28" s="168">
        <f>1/(1+Proj_Inputs!$C$26)^Y$5</f>
        <v>0.25376505095052349</v>
      </c>
      <c r="Z28" s="168">
        <f>1/(1+Proj_Inputs!$C$26)^Z$5</f>
        <v>0.23967154124604512</v>
      </c>
      <c r="AA28" s="464" t="s">
        <v>192</v>
      </c>
      <c r="AB28" s="419"/>
      <c r="AC28" s="419"/>
      <c r="AD28" s="419"/>
      <c r="AE28" s="465"/>
    </row>
    <row r="29" spans="1:31" x14ac:dyDescent="0.2">
      <c r="A29" s="368" t="s">
        <v>193</v>
      </c>
      <c r="B29" s="369">
        <f>B27*B28</f>
        <v>-453.34193722575066</v>
      </c>
      <c r="C29" s="369">
        <f t="shared" ref="C29:Z29" si="7">C27*C28</f>
        <v>-567.16371490520794</v>
      </c>
      <c r="D29" s="369">
        <f t="shared" si="7"/>
        <v>-375.95487020128883</v>
      </c>
      <c r="E29" s="369">
        <f t="shared" si="7"/>
        <v>-58.223076933476626</v>
      </c>
      <c r="F29" s="369">
        <f t="shared" si="7"/>
        <v>90.233073109742449</v>
      </c>
      <c r="G29" s="369">
        <f t="shared" si="7"/>
        <v>86.699029885799618</v>
      </c>
      <c r="H29" s="369">
        <f t="shared" si="7"/>
        <v>83.30711883717612</v>
      </c>
      <c r="I29" s="369">
        <f t="shared" si="7"/>
        <v>80.051430430858758</v>
      </c>
      <c r="J29" s="369">
        <f t="shared" si="7"/>
        <v>76.926310619360692</v>
      </c>
      <c r="K29" s="369">
        <f t="shared" si="7"/>
        <v>73.926349316582233</v>
      </c>
      <c r="L29" s="369">
        <f t="shared" si="7"/>
        <v>71.046369416029577</v>
      </c>
      <c r="M29" s="369">
        <f t="shared" si="7"/>
        <v>68.281416324850696</v>
      </c>
      <c r="N29" s="369">
        <f t="shared" si="7"/>
        <v>65.626747988487111</v>
      </c>
      <c r="O29" s="369">
        <f t="shared" si="7"/>
        <v>63.077825382018098</v>
      </c>
      <c r="P29" s="369">
        <f t="shared" si="7"/>
        <v>60.630303445476066</v>
      </c>
      <c r="Q29" s="369">
        <f t="shared" si="7"/>
        <v>58.280022441561123</v>
      </c>
      <c r="R29" s="369">
        <f t="shared" si="7"/>
        <v>52.61531890050869</v>
      </c>
      <c r="S29" s="369">
        <f t="shared" si="7"/>
        <v>46.342388230807799</v>
      </c>
      <c r="T29" s="369">
        <f t="shared" si="7"/>
        <v>42.095205992951257</v>
      </c>
      <c r="U29" s="369">
        <f t="shared" si="7"/>
        <v>40.064437565621816</v>
      </c>
      <c r="V29" s="369">
        <f t="shared" si="7"/>
        <v>38.596140697200653</v>
      </c>
      <c r="W29" s="369">
        <f t="shared" si="7"/>
        <v>37.181654535351491</v>
      </c>
      <c r="X29" s="369">
        <f t="shared" si="7"/>
        <v>35.819007004669075</v>
      </c>
      <c r="Y29" s="369">
        <f t="shared" si="7"/>
        <v>34.506298303123778</v>
      </c>
      <c r="Z29" s="370">
        <f t="shared" si="7"/>
        <v>159.63595969853927</v>
      </c>
      <c r="AA29" s="464" t="s">
        <v>440</v>
      </c>
      <c r="AB29" s="419"/>
      <c r="AC29" s="419"/>
      <c r="AD29" s="419"/>
      <c r="AE29" s="465"/>
    </row>
    <row r="30" spans="1:31" x14ac:dyDescent="0.2">
      <c r="A30" s="135" t="s">
        <v>441</v>
      </c>
      <c r="B30" s="145">
        <f>B27</f>
        <v>-480</v>
      </c>
      <c r="C30" s="145">
        <f>B30+C27</f>
        <v>-1115.8272268583087</v>
      </c>
      <c r="D30" s="145">
        <f t="shared" ref="D30:Z30" si="8">C30+D27</f>
        <v>-1562.0808332729325</v>
      </c>
      <c r="E30" s="145">
        <f t="shared" si="8"/>
        <v>-1635.2547864269181</v>
      </c>
      <c r="F30" s="145">
        <f t="shared" si="8"/>
        <v>-1515.1825900579452</v>
      </c>
      <c r="G30" s="145">
        <f t="shared" si="8"/>
        <v>-1393.0289858747301</v>
      </c>
      <c r="H30" s="145">
        <f t="shared" si="8"/>
        <v>-1268.7523457209879</v>
      </c>
      <c r="I30" s="145">
        <f t="shared" si="8"/>
        <v>-1142.3102088773082</v>
      </c>
      <c r="J30" s="145">
        <f t="shared" si="8"/>
        <v>-1013.6592654098922</v>
      </c>
      <c r="K30" s="145">
        <f t="shared" si="8"/>
        <v>-882.75533918626502</v>
      </c>
      <c r="L30" s="145">
        <f t="shared" si="8"/>
        <v>-749.55337055130258</v>
      </c>
      <c r="M30" s="145">
        <f t="shared" si="8"/>
        <v>-614.00739865677815</v>
      </c>
      <c r="N30" s="145">
        <f t="shared" si="8"/>
        <v>-476.07054343750053</v>
      </c>
      <c r="O30" s="145">
        <f t="shared" si="8"/>
        <v>-335.69498722697449</v>
      </c>
      <c r="P30" s="145">
        <f t="shared" si="8"/>
        <v>-192.83195600537536</v>
      </c>
      <c r="Q30" s="145">
        <f t="shared" si="8"/>
        <v>-47.431700272481351</v>
      </c>
      <c r="R30" s="145">
        <f t="shared" si="8"/>
        <v>91.554924461933183</v>
      </c>
      <c r="S30" s="145">
        <f t="shared" si="8"/>
        <v>221.16971242103611</v>
      </c>
      <c r="T30" s="145">
        <f t="shared" si="8"/>
        <v>345.82885139598761</v>
      </c>
      <c r="U30" s="145">
        <f t="shared" si="8"/>
        <v>471.4509011504382</v>
      </c>
      <c r="V30" s="145">
        <f t="shared" si="8"/>
        <v>599.58539189997782</v>
      </c>
      <c r="W30" s="145">
        <f t="shared" si="8"/>
        <v>730.28257246450823</v>
      </c>
      <c r="X30" s="145">
        <f t="shared" si="8"/>
        <v>863.5936966403292</v>
      </c>
      <c r="Y30" s="145">
        <f t="shared" si="8"/>
        <v>999.57104329966671</v>
      </c>
      <c r="Z30" s="145">
        <f t="shared" si="8"/>
        <v>1665.6324324349671</v>
      </c>
      <c r="AA30" s="466" t="s">
        <v>442</v>
      </c>
      <c r="AB30" s="465"/>
      <c r="AC30" s="465"/>
      <c r="AD30" s="465"/>
      <c r="AE30" s="465"/>
    </row>
    <row r="31" spans="1:31" ht="16" thickBot="1" x14ac:dyDescent="0.25">
      <c r="A31" s="141" t="s">
        <v>443</v>
      </c>
      <c r="B31" s="152">
        <f>B29</f>
        <v>-453.34193722575066</v>
      </c>
      <c r="C31" s="152">
        <f t="shared" ref="C31" si="9">B31+C29</f>
        <v>-1020.5056521309587</v>
      </c>
      <c r="D31" s="152">
        <f t="shared" ref="D31" si="10">C31+D29</f>
        <v>-1396.4605223322474</v>
      </c>
      <c r="E31" s="152">
        <f t="shared" ref="E31" si="11">D31+E29</f>
        <v>-1454.6835992657241</v>
      </c>
      <c r="F31" s="152">
        <f t="shared" ref="F31" si="12">E31+F29</f>
        <v>-1364.4505261559816</v>
      </c>
      <c r="G31" s="152">
        <f t="shared" ref="G31" si="13">F31+G29</f>
        <v>-1277.7514962701821</v>
      </c>
      <c r="H31" s="152">
        <f t="shared" ref="H31" si="14">G31+H29</f>
        <v>-1194.4443774330059</v>
      </c>
      <c r="I31" s="152">
        <f t="shared" ref="I31" si="15">H31+I29</f>
        <v>-1114.3929470021471</v>
      </c>
      <c r="J31" s="152">
        <f t="shared" ref="J31" si="16">I31+J29</f>
        <v>-1037.4666363827864</v>
      </c>
      <c r="K31" s="152">
        <f t="shared" ref="K31" si="17">J31+K29</f>
        <v>-963.5402870662042</v>
      </c>
      <c r="L31" s="152">
        <f t="shared" ref="L31" si="18">K31+L29</f>
        <v>-892.49391765017458</v>
      </c>
      <c r="M31" s="152">
        <f t="shared" ref="M31" si="19">L31+M29</f>
        <v>-824.21250132532384</v>
      </c>
      <c r="N31" s="152">
        <f t="shared" ref="N31" si="20">M31+N29</f>
        <v>-758.58575333683677</v>
      </c>
      <c r="O31" s="152">
        <f t="shared" ref="O31" si="21">N31+O29</f>
        <v>-695.50792795481868</v>
      </c>
      <c r="P31" s="152">
        <f t="shared" ref="P31" si="22">O31+P29</f>
        <v>-634.87762450934258</v>
      </c>
      <c r="Q31" s="152">
        <f t="shared" ref="Q31" si="23">P31+Q29</f>
        <v>-576.59760206778151</v>
      </c>
      <c r="R31" s="152">
        <f t="shared" ref="R31" si="24">Q31+R29</f>
        <v>-523.98228316727284</v>
      </c>
      <c r="S31" s="152">
        <f t="shared" ref="S31" si="25">R31+S29</f>
        <v>-477.63989493646505</v>
      </c>
      <c r="T31" s="152">
        <f t="shared" ref="T31" si="26">S31+T29</f>
        <v>-435.54468894351379</v>
      </c>
      <c r="U31" s="152">
        <f t="shared" ref="U31" si="27">T31+U29</f>
        <v>-395.48025137789199</v>
      </c>
      <c r="V31" s="152">
        <f t="shared" ref="V31" si="28">U31+V29</f>
        <v>-356.88411068069132</v>
      </c>
      <c r="W31" s="152">
        <f t="shared" ref="W31" si="29">V31+W29</f>
        <v>-319.70245614533985</v>
      </c>
      <c r="X31" s="152">
        <f t="shared" ref="X31" si="30">W31+X29</f>
        <v>-283.88344914067079</v>
      </c>
      <c r="Y31" s="152">
        <f t="shared" ref="Y31" si="31">X31+Y29</f>
        <v>-249.37715083754702</v>
      </c>
      <c r="Z31" s="152">
        <f t="shared" ref="Z31" si="32">Y31+Z29</f>
        <v>-89.741191139007753</v>
      </c>
      <c r="AA31" s="467" t="s">
        <v>444</v>
      </c>
      <c r="AB31" s="468"/>
      <c r="AC31" s="468"/>
      <c r="AD31" s="468"/>
      <c r="AE31" s="469"/>
    </row>
    <row r="32" spans="1:31" ht="16" thickBot="1" x14ac:dyDescent="0.25"/>
    <row r="33" spans="1:10" ht="16" thickBot="1" x14ac:dyDescent="0.25">
      <c r="A33" s="131" t="s">
        <v>445</v>
      </c>
      <c r="B33" s="169" t="s">
        <v>378</v>
      </c>
      <c r="C33" s="159" t="s">
        <v>5</v>
      </c>
      <c r="D33" s="471" t="s">
        <v>115</v>
      </c>
      <c r="E33" s="471"/>
      <c r="F33" s="471"/>
      <c r="G33" s="471"/>
      <c r="H33" s="471"/>
      <c r="I33" s="471"/>
      <c r="J33" s="472"/>
    </row>
    <row r="34" spans="1:10" x14ac:dyDescent="0.2">
      <c r="A34" s="373" t="s">
        <v>446</v>
      </c>
      <c r="B34" s="374">
        <f>SUM(B29:Z29)</f>
        <v>-89.741191139007753</v>
      </c>
      <c r="C34" s="375" t="s">
        <v>27</v>
      </c>
      <c r="D34" s="419" t="s">
        <v>447</v>
      </c>
      <c r="E34" s="419"/>
      <c r="F34" s="419"/>
      <c r="G34" s="419"/>
      <c r="H34" s="419"/>
      <c r="I34" s="419"/>
      <c r="J34" s="465"/>
    </row>
    <row r="35" spans="1:10" x14ac:dyDescent="0.2">
      <c r="A35" s="135" t="s">
        <v>446</v>
      </c>
      <c r="B35" s="155">
        <f>B34/Proj_Inputs!$C$28</f>
        <v>-82.909452271810565</v>
      </c>
      <c r="C35" s="160" t="s">
        <v>448</v>
      </c>
      <c r="D35" s="419" t="s">
        <v>449</v>
      </c>
      <c r="E35" s="419"/>
      <c r="F35" s="419"/>
      <c r="G35" s="419"/>
      <c r="H35" s="419"/>
      <c r="I35" s="419"/>
      <c r="J35" s="465"/>
    </row>
    <row r="36" spans="1:10" x14ac:dyDescent="0.2">
      <c r="A36" s="376" t="s">
        <v>29</v>
      </c>
      <c r="B36" s="377">
        <f>IRR(B27:Z27)</f>
        <v>5.3335884144312562E-2</v>
      </c>
      <c r="C36" s="378" t="s">
        <v>7</v>
      </c>
      <c r="D36" s="419" t="s">
        <v>450</v>
      </c>
      <c r="E36" s="419"/>
      <c r="F36" s="419"/>
      <c r="G36" s="419"/>
      <c r="H36" s="419"/>
      <c r="I36" s="419"/>
      <c r="J36" s="465"/>
    </row>
    <row r="37" spans="1:10" x14ac:dyDescent="0.2">
      <c r="A37" s="135" t="s">
        <v>32</v>
      </c>
      <c r="B37" s="156">
        <f>Proj_Inputs!$C$26</f>
        <v>5.8803434196678696E-2</v>
      </c>
      <c r="C37" s="160" t="s">
        <v>7</v>
      </c>
      <c r="D37" s="419" t="s">
        <v>451</v>
      </c>
      <c r="E37" s="419"/>
      <c r="F37" s="419"/>
      <c r="G37" s="419"/>
      <c r="H37" s="419"/>
      <c r="I37" s="419"/>
      <c r="J37" s="465"/>
    </row>
    <row r="38" spans="1:10" x14ac:dyDescent="0.2">
      <c r="A38" s="135" t="s">
        <v>452</v>
      </c>
      <c r="B38" s="156">
        <f>B36-B37</f>
        <v>-5.4675500523661338E-3</v>
      </c>
      <c r="C38" s="160" t="s">
        <v>7</v>
      </c>
      <c r="D38" s="419"/>
      <c r="E38" s="419"/>
      <c r="F38" s="419"/>
      <c r="G38" s="419"/>
      <c r="H38" s="419"/>
      <c r="I38" s="419"/>
      <c r="J38" s="465"/>
    </row>
    <row r="39" spans="1:10" x14ac:dyDescent="0.2">
      <c r="A39" s="135" t="s">
        <v>453</v>
      </c>
      <c r="B39" s="155">
        <f>-SUMPRODUCT(B22:Z22,B28:Z28)</f>
        <v>1424.8698687720412</v>
      </c>
      <c r="C39" s="160" t="s">
        <v>27</v>
      </c>
      <c r="D39" s="419" t="s">
        <v>454</v>
      </c>
      <c r="E39" s="419"/>
      <c r="F39" s="419"/>
      <c r="G39" s="419"/>
      <c r="H39" s="419"/>
      <c r="I39" s="419"/>
      <c r="J39" s="465"/>
    </row>
    <row r="40" spans="1:10" x14ac:dyDescent="0.2">
      <c r="A40" s="376" t="s">
        <v>33</v>
      </c>
      <c r="B40" s="379">
        <f>1+B34/B39</f>
        <v>0.93701797398779507</v>
      </c>
      <c r="C40" s="378" t="s">
        <v>34</v>
      </c>
      <c r="D40" s="419" t="s">
        <v>455</v>
      </c>
      <c r="E40" s="419"/>
      <c r="F40" s="419"/>
      <c r="G40" s="419"/>
      <c r="H40" s="419"/>
      <c r="I40" s="419"/>
      <c r="J40" s="465"/>
    </row>
    <row r="41" spans="1:10" x14ac:dyDescent="0.2">
      <c r="A41" s="135" t="s">
        <v>456</v>
      </c>
      <c r="B41" s="157">
        <f>IF(COUNTIF(B30:Z30,"&lt;0")=25,"not recovered",COUNTIF(B30:Z30,"&lt;0")-INDEX(B30:Z30,1,COUNTIF(B30:Z30,"&lt;0"))/INDEX(B27:Z27,1,COUNTIF(B30:Z30,"&lt;0")+1))</f>
        <v>16.341268092257923</v>
      </c>
      <c r="C41" s="160" t="s">
        <v>366</v>
      </c>
      <c r="D41" s="419" t="s">
        <v>457</v>
      </c>
      <c r="E41" s="419"/>
      <c r="F41" s="419"/>
      <c r="G41" s="419"/>
      <c r="H41" s="419"/>
      <c r="I41" s="419"/>
      <c r="J41" s="465"/>
    </row>
    <row r="42" spans="1:10" x14ac:dyDescent="0.2">
      <c r="A42" s="135" t="s">
        <v>458</v>
      </c>
      <c r="B42" s="157" t="str">
        <f>IF(COUNTIF(B31:Z31,"&lt;0")=25,"not recovered",COUNTIF(B31:Z31,"&lt;0")-INDEX(B31:Z31,1,COUNTIF(B31:Z31,"&lt;0"))/INDEX(B29:Z29,1,COUNTIF(B31:Z31,"&lt;0")+1))</f>
        <v>not recovered</v>
      </c>
      <c r="C42" s="160" t="s">
        <v>366</v>
      </c>
      <c r="D42" s="419" t="s">
        <v>459</v>
      </c>
      <c r="E42" s="419"/>
      <c r="F42" s="419"/>
      <c r="G42" s="419"/>
      <c r="H42" s="419"/>
      <c r="I42" s="419"/>
      <c r="J42" s="465"/>
    </row>
    <row r="43" spans="1:10" x14ac:dyDescent="0.2">
      <c r="A43" s="135" t="s">
        <v>460</v>
      </c>
      <c r="B43" s="155">
        <f>NPV(B37-0.01,B27:Z27)</f>
        <v>82.119620598371398</v>
      </c>
      <c r="C43" s="160" t="s">
        <v>27</v>
      </c>
      <c r="D43" s="419" t="s">
        <v>461</v>
      </c>
      <c r="E43" s="419"/>
      <c r="F43" s="419"/>
      <c r="G43" s="419"/>
      <c r="H43" s="419"/>
      <c r="I43" s="419"/>
      <c r="J43" s="465"/>
    </row>
    <row r="44" spans="1:10" ht="16" thickBot="1" x14ac:dyDescent="0.25">
      <c r="A44" s="141" t="s">
        <v>462</v>
      </c>
      <c r="B44" s="158">
        <f>NPV(B37+0.01,B27:Z27)</f>
        <v>-230.8755200930685</v>
      </c>
      <c r="C44" s="161" t="s">
        <v>27</v>
      </c>
      <c r="D44" s="468" t="s">
        <v>461</v>
      </c>
      <c r="E44" s="468"/>
      <c r="F44" s="468"/>
      <c r="G44" s="468"/>
      <c r="H44" s="468"/>
      <c r="I44" s="468"/>
      <c r="J44" s="469"/>
    </row>
    <row r="45" spans="1:10" ht="16" thickBot="1" x14ac:dyDescent="0.25"/>
    <row r="46" spans="1:10" ht="16" thickBot="1" x14ac:dyDescent="0.25">
      <c r="A46" s="131" t="s">
        <v>463</v>
      </c>
      <c r="B46" s="170" t="s">
        <v>378</v>
      </c>
      <c r="C46" s="159" t="s">
        <v>5</v>
      </c>
      <c r="D46" s="471" t="s">
        <v>115</v>
      </c>
      <c r="E46" s="471"/>
      <c r="F46" s="471"/>
      <c r="G46" s="471"/>
      <c r="H46" s="471"/>
      <c r="I46" s="471"/>
      <c r="J46" s="472"/>
    </row>
    <row r="47" spans="1:10" x14ac:dyDescent="0.2">
      <c r="A47" s="135" t="s">
        <v>464</v>
      </c>
      <c r="B47" s="171">
        <f>SUMPRODUCT(B14:Z14,B28:Z28)</f>
        <v>9535.5170508457395</v>
      </c>
      <c r="C47" s="160" t="s">
        <v>27</v>
      </c>
      <c r="D47" s="419" t="s">
        <v>465</v>
      </c>
      <c r="E47" s="419"/>
      <c r="F47" s="419"/>
      <c r="G47" s="419"/>
      <c r="H47" s="419"/>
      <c r="I47" s="419"/>
      <c r="J47" s="465"/>
    </row>
    <row r="48" spans="1:10" x14ac:dyDescent="0.2">
      <c r="A48" s="135" t="s">
        <v>466</v>
      </c>
      <c r="B48" s="171">
        <f>SUMPRODUCT(B22:Z22,B28:Z28)-Proj_Inputs!$C$24*SUMPRODUCT(B16:Z16,B28:Z28)+(-SUM(B22:Z22)+SUM(B16:Z16))*Z28</f>
        <v>-1163.3071627915449</v>
      </c>
      <c r="C48" s="160" t="s">
        <v>27</v>
      </c>
      <c r="D48" s="419" t="s">
        <v>467</v>
      </c>
      <c r="E48" s="419"/>
      <c r="F48" s="419"/>
      <c r="G48" s="419"/>
      <c r="H48" s="419"/>
      <c r="I48" s="419"/>
      <c r="J48" s="465"/>
    </row>
    <row r="49" spans="1:10" x14ac:dyDescent="0.2">
      <c r="A49" s="135" t="s">
        <v>468</v>
      </c>
      <c r="B49" s="171">
        <f>B34-Proj_Inputs!$C$21*(1-Proj_Inputs!$C$24)*B47-B48</f>
        <v>-285.66102222153449</v>
      </c>
      <c r="C49" s="160" t="s">
        <v>27</v>
      </c>
      <c r="D49" s="419" t="s">
        <v>469</v>
      </c>
      <c r="E49" s="419"/>
      <c r="F49" s="419"/>
      <c r="G49" s="419"/>
      <c r="H49" s="419"/>
      <c r="I49" s="419"/>
      <c r="J49" s="465"/>
    </row>
    <row r="50" spans="1:10" ht="16" thickBot="1" x14ac:dyDescent="0.25">
      <c r="A50" s="194" t="s">
        <v>470</v>
      </c>
      <c r="B50" s="380">
        <f>Proj_Inputs!$C$21*(1-Proj_Inputs!$C$24)*B47+B49+B48-B34</f>
        <v>0</v>
      </c>
      <c r="C50" s="161" t="s">
        <v>27</v>
      </c>
      <c r="D50" s="468" t="s">
        <v>471</v>
      </c>
      <c r="E50" s="468"/>
      <c r="F50" s="468"/>
      <c r="G50" s="468"/>
      <c r="H50" s="468"/>
      <c r="I50" s="468"/>
      <c r="J50" s="469"/>
    </row>
    <row r="51" spans="1:10" ht="16" thickBot="1" x14ac:dyDescent="0.25"/>
    <row r="52" spans="1:10" ht="16" thickBot="1" x14ac:dyDescent="0.25">
      <c r="A52" s="383" t="s">
        <v>472</v>
      </c>
      <c r="B52" s="384" t="s">
        <v>378</v>
      </c>
      <c r="C52" s="385" t="s">
        <v>5</v>
      </c>
      <c r="D52" s="471" t="s">
        <v>115</v>
      </c>
      <c r="E52" s="471"/>
      <c r="F52" s="471"/>
      <c r="G52" s="471"/>
      <c r="H52" s="471"/>
      <c r="I52" s="471"/>
      <c r="J52" s="472"/>
    </row>
    <row r="53" spans="1:10" x14ac:dyDescent="0.2">
      <c r="A53" s="376" t="s">
        <v>30</v>
      </c>
      <c r="B53" s="386">
        <f>((1+MIRR(B27:Z27,B37,B37))^(Z5-1)*(1+B37))^(1/Z5)-1</f>
        <v>5.6110043278008614E-2</v>
      </c>
      <c r="C53" s="378" t="s">
        <v>7</v>
      </c>
      <c r="D53" s="411" t="s">
        <v>473</v>
      </c>
      <c r="E53" s="411"/>
      <c r="F53" s="411"/>
      <c r="G53" s="411"/>
      <c r="H53" s="411"/>
      <c r="I53" s="411"/>
      <c r="J53" s="412"/>
    </row>
    <row r="54" spans="1:10" x14ac:dyDescent="0.2">
      <c r="A54" s="135" t="s">
        <v>474</v>
      </c>
      <c r="B54" s="265">
        <f>-B48/(Proj_Inputs!$C$21*(1-Proj_Inputs!$C$24)*B47+B49)</f>
        <v>1.083591687431066</v>
      </c>
      <c r="C54" s="160" t="s">
        <v>34</v>
      </c>
      <c r="D54" s="411" t="s">
        <v>475</v>
      </c>
      <c r="E54" s="411"/>
      <c r="F54" s="411"/>
      <c r="G54" s="411"/>
      <c r="H54" s="411"/>
      <c r="I54" s="411"/>
      <c r="J54" s="412"/>
    </row>
    <row r="55" spans="1:10" x14ac:dyDescent="0.2">
      <c r="A55" s="135" t="s">
        <v>476</v>
      </c>
      <c r="B55" s="266">
        <f>Proj_Inputs!$C$16*B54</f>
        <v>102.94121030595127</v>
      </c>
      <c r="C55" s="160" t="s">
        <v>347</v>
      </c>
      <c r="D55" s="411" t="s">
        <v>491</v>
      </c>
      <c r="E55" s="411"/>
      <c r="F55" s="411"/>
      <c r="G55" s="411"/>
      <c r="H55" s="411"/>
      <c r="I55" s="411"/>
      <c r="J55" s="412"/>
    </row>
    <row r="56" spans="1:10" x14ac:dyDescent="0.2">
      <c r="A56" s="135" t="s">
        <v>478</v>
      </c>
      <c r="B56" s="36">
        <f>(Proj_Inputs!$C$10+Proj_Inputs!$C$11)*Proj_Inputs!$C$20*B54</f>
        <v>6.3390113714717371</v>
      </c>
      <c r="C56" s="160" t="s">
        <v>336</v>
      </c>
      <c r="D56" s="411" t="s">
        <v>479</v>
      </c>
      <c r="E56" s="411"/>
      <c r="F56" s="411"/>
      <c r="G56" s="411"/>
      <c r="H56" s="411"/>
      <c r="I56" s="411"/>
      <c r="J56" s="412"/>
    </row>
    <row r="57" spans="1:10" x14ac:dyDescent="0.2">
      <c r="A57" s="135" t="s">
        <v>480</v>
      </c>
      <c r="B57" s="267">
        <f>Proj_Inputs!$C$20*B54</f>
        <v>0.97523251868795946</v>
      </c>
      <c r="C57" s="160" t="s">
        <v>7</v>
      </c>
      <c r="D57" s="411" t="s">
        <v>481</v>
      </c>
      <c r="E57" s="411"/>
      <c r="F57" s="411"/>
      <c r="G57" s="411"/>
      <c r="H57" s="411"/>
      <c r="I57" s="411"/>
      <c r="J57" s="412"/>
    </row>
    <row r="58" spans="1:10" x14ac:dyDescent="0.2">
      <c r="A58" s="376" t="s">
        <v>482</v>
      </c>
      <c r="B58" s="382">
        <f>1-B54</f>
        <v>-8.3591687431066042E-2</v>
      </c>
      <c r="C58" s="378" t="s">
        <v>7</v>
      </c>
      <c r="D58" s="411" t="s">
        <v>483</v>
      </c>
      <c r="E58" s="411"/>
      <c r="F58" s="411"/>
      <c r="G58" s="411"/>
      <c r="H58" s="411"/>
      <c r="I58" s="411"/>
      <c r="J58" s="412"/>
    </row>
    <row r="59" spans="1:10" ht="16" thickBot="1" x14ac:dyDescent="0.25">
      <c r="A59" s="141" t="s">
        <v>484</v>
      </c>
      <c r="B59" s="268">
        <f>B54*360</f>
        <v>390.09300747518375</v>
      </c>
      <c r="C59" s="161" t="s">
        <v>485</v>
      </c>
      <c r="D59" s="413" t="s">
        <v>486</v>
      </c>
      <c r="E59" s="413"/>
      <c r="F59" s="413"/>
      <c r="G59" s="413"/>
      <c r="H59" s="413"/>
      <c r="I59" s="413"/>
      <c r="J59" s="414"/>
    </row>
  </sheetData>
  <mergeCells count="54">
    <mergeCell ref="A1:E1"/>
    <mergeCell ref="A2:E2"/>
    <mergeCell ref="D57:J57"/>
    <mergeCell ref="D58:J58"/>
    <mergeCell ref="D59:J59"/>
    <mergeCell ref="D52:J52"/>
    <mergeCell ref="D53:J53"/>
    <mergeCell ref="D54:J54"/>
    <mergeCell ref="D55:J55"/>
    <mergeCell ref="D56:J56"/>
    <mergeCell ref="D48:J48"/>
    <mergeCell ref="D49:J49"/>
    <mergeCell ref="D50:J50"/>
    <mergeCell ref="D33:J33"/>
    <mergeCell ref="D34:J34"/>
    <mergeCell ref="D35:J35"/>
    <mergeCell ref="AA9:AE9"/>
    <mergeCell ref="AA11:AE11"/>
    <mergeCell ref="AA12:AE12"/>
    <mergeCell ref="AA4:AE4"/>
    <mergeCell ref="AA5:AE5"/>
    <mergeCell ref="AA6:AE6"/>
    <mergeCell ref="AA7:AE7"/>
    <mergeCell ref="AA8:AE8"/>
    <mergeCell ref="AA24:AE24"/>
    <mergeCell ref="AA13:AE13"/>
    <mergeCell ref="AA14:AE14"/>
    <mergeCell ref="AA15:AE15"/>
    <mergeCell ref="AA16:AE16"/>
    <mergeCell ref="AA17:AE17"/>
    <mergeCell ref="AA18:AE18"/>
    <mergeCell ref="AA19:AE19"/>
    <mergeCell ref="AA20:AE20"/>
    <mergeCell ref="AA21:AE21"/>
    <mergeCell ref="AA22:AE22"/>
    <mergeCell ref="AA23:AE23"/>
    <mergeCell ref="AA31:AE31"/>
    <mergeCell ref="AA25:AE25"/>
    <mergeCell ref="AA26:AE26"/>
    <mergeCell ref="AA27:AE27"/>
    <mergeCell ref="AA28:AE28"/>
    <mergeCell ref="AA29:AE29"/>
    <mergeCell ref="AA30:AE30"/>
    <mergeCell ref="D36:J36"/>
    <mergeCell ref="D37:J37"/>
    <mergeCell ref="D38:J38"/>
    <mergeCell ref="D39:J39"/>
    <mergeCell ref="D40:J40"/>
    <mergeCell ref="D47:J47"/>
    <mergeCell ref="D41:J41"/>
    <mergeCell ref="D42:J42"/>
    <mergeCell ref="D43:J43"/>
    <mergeCell ref="D44:J44"/>
    <mergeCell ref="D46:J4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74A2FD-669D-2341-840C-81E9ED15FDF1}">
  <dimension ref="A1:O524"/>
  <sheetViews>
    <sheetView zoomScale="150" workbookViewId="0">
      <selection sqref="A1:B1"/>
    </sheetView>
  </sheetViews>
  <sheetFormatPr baseColWidth="10" defaultColWidth="11.5" defaultRowHeight="15" x14ac:dyDescent="0.2"/>
  <cols>
    <col min="1" max="1" width="35.83203125" customWidth="1"/>
    <col min="5" max="5" width="10.83203125" customWidth="1"/>
  </cols>
  <sheetData>
    <row r="1" spans="1:11" x14ac:dyDescent="0.2">
      <c r="A1" s="463" t="s">
        <v>492</v>
      </c>
      <c r="B1" s="463"/>
    </row>
    <row r="2" spans="1:11" x14ac:dyDescent="0.2">
      <c r="A2" s="419" t="s">
        <v>493</v>
      </c>
      <c r="B2" s="419"/>
      <c r="C2" s="419"/>
      <c r="D2" s="419"/>
      <c r="E2" s="419"/>
      <c r="F2" s="419"/>
      <c r="G2" s="419"/>
      <c r="H2" s="419"/>
      <c r="I2" s="419"/>
      <c r="J2" s="419"/>
      <c r="K2" s="419"/>
    </row>
    <row r="3" spans="1:11" ht="16" thickBot="1" x14ac:dyDescent="0.25"/>
    <row r="4" spans="1:11" ht="16" thickBot="1" x14ac:dyDescent="0.25">
      <c r="A4" s="189" t="s">
        <v>494</v>
      </c>
      <c r="B4" s="133" t="s">
        <v>391</v>
      </c>
      <c r="C4" s="159" t="s">
        <v>392</v>
      </c>
      <c r="D4" s="186" t="s">
        <v>393</v>
      </c>
      <c r="E4" s="475" t="s">
        <v>115</v>
      </c>
      <c r="F4" s="471"/>
      <c r="G4" s="471"/>
      <c r="H4" s="471"/>
      <c r="I4" s="471"/>
      <c r="J4" s="471"/>
      <c r="K4" s="472"/>
    </row>
    <row r="5" spans="1:11" x14ac:dyDescent="0.2">
      <c r="A5" s="174" t="s">
        <v>495</v>
      </c>
      <c r="B5" s="146">
        <f>Proj_Inputs!B38</f>
        <v>-0.1</v>
      </c>
      <c r="C5" s="223">
        <f>Proj_Inputs!C38</f>
        <v>0</v>
      </c>
      <c r="D5" s="221">
        <f>Proj_Inputs!D38</f>
        <v>0.05</v>
      </c>
      <c r="E5" s="477" t="s">
        <v>496</v>
      </c>
      <c r="F5" s="419"/>
      <c r="G5" s="419"/>
      <c r="H5" s="419"/>
      <c r="I5" s="419"/>
      <c r="J5" s="419"/>
      <c r="K5" s="465"/>
    </row>
    <row r="6" spans="1:11" x14ac:dyDescent="0.2">
      <c r="A6" s="174" t="s">
        <v>497</v>
      </c>
      <c r="B6" s="146">
        <f>Proj_Inputs!B39</f>
        <v>-0.1</v>
      </c>
      <c r="C6" s="223">
        <f>Proj_Inputs!C39</f>
        <v>0</v>
      </c>
      <c r="D6" s="221">
        <f>Proj_Inputs!D39</f>
        <v>0.05</v>
      </c>
      <c r="E6" s="473" t="s">
        <v>496</v>
      </c>
      <c r="F6" s="465"/>
      <c r="G6" s="465"/>
      <c r="H6" s="465"/>
      <c r="I6" s="465"/>
      <c r="J6" s="465"/>
      <c r="K6" s="465"/>
    </row>
    <row r="7" spans="1:11" x14ac:dyDescent="0.2">
      <c r="A7" s="174" t="s">
        <v>498</v>
      </c>
      <c r="B7" s="146">
        <f>Proj_Inputs!B40</f>
        <v>-0.03</v>
      </c>
      <c r="C7" s="223">
        <f>Proj_Inputs!C40</f>
        <v>0</v>
      </c>
      <c r="D7" s="221">
        <f>Proj_Inputs!D40</f>
        <v>0.03</v>
      </c>
      <c r="E7" s="473" t="s">
        <v>496</v>
      </c>
      <c r="F7" s="465"/>
      <c r="G7" s="465"/>
      <c r="H7" s="465"/>
      <c r="I7" s="465"/>
      <c r="J7" s="465"/>
      <c r="K7" s="465"/>
    </row>
    <row r="8" spans="1:11" x14ac:dyDescent="0.2">
      <c r="A8" s="174" t="s">
        <v>400</v>
      </c>
      <c r="B8" s="146">
        <f>Proj_Inputs!B41</f>
        <v>0.15</v>
      </c>
      <c r="C8" s="223">
        <f>Proj_Inputs!C41</f>
        <v>0</v>
      </c>
      <c r="D8" s="221">
        <f>Proj_Inputs!D41</f>
        <v>0</v>
      </c>
      <c r="E8" s="473" t="s">
        <v>496</v>
      </c>
      <c r="F8" s="465"/>
      <c r="G8" s="465"/>
      <c r="H8" s="465"/>
      <c r="I8" s="465"/>
      <c r="J8" s="465"/>
      <c r="K8" s="465"/>
    </row>
    <row r="9" spans="1:11" x14ac:dyDescent="0.2">
      <c r="A9" s="387" t="s">
        <v>499</v>
      </c>
      <c r="B9" s="388">
        <f>(1+B$5)*(Proj_Inputs!$B$20+B$6)/Proj_Inputs!$B$20*((Proj_Inputs!$B$21+B$7)*(1-Proj_Inputs!$B$24)*NPV_Pirelli!$B$47+NPV_Pirelli!$B$49)+(1+B$8)*NPV_Pirelli!$B$48</f>
        <v>-100.13357234454099</v>
      </c>
      <c r="C9" s="389">
        <f>(1+C$5)*(Proj_Inputs!$B$20+C$6)/Proj_Inputs!$B$20*((Proj_Inputs!$B$21+C$7)*(1-Proj_Inputs!$B$24)*NPV_Pirelli!$B$47+NPV_Pirelli!$B$49)+(1+C$8)*NPV_Pirelli!$B$48</f>
        <v>405.32105609434313</v>
      </c>
      <c r="D9" s="372">
        <f>(1+D$5)*(Proj_Inputs!$B$20+D$6)/Proj_Inputs!$B$20*((Proj_Inputs!$B$21+D$7)*(1-Proj_Inputs!$B$24)*NPV_Pirelli!$B$47+NPV_Pirelli!$B$49)+(1+D$8)*NPV_Pirelli!$B$48</f>
        <v>740.32579617296108</v>
      </c>
      <c r="E9" s="473" t="s">
        <v>500</v>
      </c>
      <c r="F9" s="465"/>
      <c r="G9" s="465"/>
      <c r="H9" s="465"/>
      <c r="I9" s="465"/>
      <c r="J9" s="465"/>
      <c r="K9" s="465"/>
    </row>
    <row r="10" spans="1:11" x14ac:dyDescent="0.2">
      <c r="A10" s="387" t="s">
        <v>501</v>
      </c>
      <c r="B10" s="388">
        <f>(1+B$5)*(Proj_Inputs!$C$20+B$6)/Proj_Inputs!$C$20*((Proj_Inputs!$C$21+B$7)*(1-Proj_Inputs!$C$24)*NPV_Hankook!$B$47+NPV_Hankook!$B$49)+(1+B$8)*NPV_Hankook!$B$48</f>
        <v>-643.42668639487476</v>
      </c>
      <c r="C10" s="389">
        <f>(1+C$5)*(Proj_Inputs!$C$20+C$6)/Proj_Inputs!$C$20*((Proj_Inputs!$C$21+C$7)*(1-Proj_Inputs!$C$24)*NPV_Hankook!$B$47+NPV_Hankook!$B$49)+(1+C$8)*NPV_Hankook!$B$48</f>
        <v>-89.741191139007697</v>
      </c>
      <c r="D10" s="372">
        <f>(1+D$5)*(Proj_Inputs!$C$20+D$6)/Proj_Inputs!$C$20*((Proj_Inputs!$C$21+D$7)*(1-Proj_Inputs!$C$24)*NPV_Hankook!$B$47+NPV_Hankook!$B$49)+(1+D$8)*NPV_Hankook!$B$48</f>
        <v>254.42989459607475</v>
      </c>
      <c r="E10" s="473" t="s">
        <v>500</v>
      </c>
      <c r="F10" s="465"/>
      <c r="G10" s="465"/>
      <c r="H10" s="465"/>
      <c r="I10" s="465"/>
      <c r="J10" s="465"/>
      <c r="K10" s="465"/>
    </row>
    <row r="11" spans="1:11" x14ac:dyDescent="0.2">
      <c r="A11" s="174" t="s">
        <v>502</v>
      </c>
      <c r="B11" s="140">
        <f>1+B9/((1+B$8)*NPV_Pirelli!$B$39)</f>
        <v>0.9041676514806416</v>
      </c>
      <c r="C11" s="184">
        <f>1+C9/((1+C$8)*NPV_Pirelli!$B$39)</f>
        <v>1.4460971277709824</v>
      </c>
      <c r="D11" s="180">
        <f>1+D9/((1+D$8)*NPV_Pirelli!$B$39)</f>
        <v>1.8148039839574792</v>
      </c>
      <c r="E11" s="473" t="s">
        <v>503</v>
      </c>
      <c r="F11" s="465"/>
      <c r="G11" s="465"/>
      <c r="H11" s="465"/>
      <c r="I11" s="465"/>
      <c r="J11" s="465"/>
      <c r="K11" s="465"/>
    </row>
    <row r="12" spans="1:11" ht="16" thickBot="1" x14ac:dyDescent="0.25">
      <c r="A12" s="202" t="s">
        <v>504</v>
      </c>
      <c r="B12" s="172">
        <f>1+B10/((1+B$8)*NPV_Hankook!$B$39)</f>
        <v>0.60733153343153601</v>
      </c>
      <c r="C12" s="224">
        <f>1+C10/((1+C$8)*NPV_Hankook!$B$39)</f>
        <v>0.93701797398779507</v>
      </c>
      <c r="D12" s="222">
        <f>1+D10/((1+D$8)*NPV_Hankook!$B$39)</f>
        <v>1.1785636009099858</v>
      </c>
      <c r="E12" s="476" t="s">
        <v>503</v>
      </c>
      <c r="F12" s="468"/>
      <c r="G12" s="468"/>
      <c r="H12" s="468"/>
      <c r="I12" s="468"/>
      <c r="J12" s="468"/>
      <c r="K12" s="469"/>
    </row>
    <row r="13" spans="1:11" x14ac:dyDescent="0.2">
      <c r="A13" s="130" t="s">
        <v>505</v>
      </c>
    </row>
    <row r="14" spans="1:11" ht="16" thickBot="1" x14ac:dyDescent="0.25"/>
    <row r="15" spans="1:11" ht="16" thickBot="1" x14ac:dyDescent="0.25">
      <c r="A15" s="189" t="s">
        <v>506</v>
      </c>
      <c r="B15" s="132" t="s">
        <v>3</v>
      </c>
      <c r="C15" s="170" t="s">
        <v>4</v>
      </c>
      <c r="D15" s="133" t="s">
        <v>5</v>
      </c>
      <c r="E15" s="475" t="s">
        <v>115</v>
      </c>
      <c r="F15" s="471"/>
      <c r="G15" s="471"/>
      <c r="H15" s="471"/>
      <c r="I15" s="471"/>
      <c r="J15" s="471"/>
      <c r="K15" s="472"/>
    </row>
    <row r="16" spans="1:11" x14ac:dyDescent="0.2">
      <c r="A16" s="387" t="s">
        <v>507</v>
      </c>
      <c r="B16" s="388">
        <f>AVERAGE($N$25:$N$524)</f>
        <v>285.16922357629426</v>
      </c>
      <c r="C16" s="389">
        <f>AVERAGE($O$25:$O$524)</f>
        <v>-235.37845505118224</v>
      </c>
      <c r="D16" s="136" t="s">
        <v>27</v>
      </c>
      <c r="E16" s="477" t="s">
        <v>508</v>
      </c>
      <c r="F16" s="419"/>
      <c r="G16" s="419"/>
      <c r="H16" s="419"/>
      <c r="I16" s="419"/>
      <c r="J16" s="419"/>
      <c r="K16" s="465"/>
    </row>
    <row r="17" spans="1:15" x14ac:dyDescent="0.2">
      <c r="A17" s="174" t="s">
        <v>509</v>
      </c>
      <c r="B17" s="145">
        <f>MEDIAN($N$25:$N$524)</f>
        <v>284.82921001546316</v>
      </c>
      <c r="C17" s="171">
        <f>MEDIAN($O$25:$O$524)</f>
        <v>-249.50895911382838</v>
      </c>
      <c r="D17" s="136" t="s">
        <v>27</v>
      </c>
      <c r="E17" s="474"/>
      <c r="F17" s="456"/>
      <c r="G17" s="456"/>
      <c r="H17" s="456"/>
      <c r="I17" s="456"/>
      <c r="J17" s="456"/>
      <c r="K17" s="456"/>
    </row>
    <row r="18" spans="1:15" x14ac:dyDescent="0.2">
      <c r="A18" s="174" t="s">
        <v>510</v>
      </c>
      <c r="B18" s="145">
        <f>STDEV($N$25:$N$524)</f>
        <v>173.5223887820195</v>
      </c>
      <c r="C18" s="171">
        <f>STDEV($O$25:$O$524)</f>
        <v>194.4795799133278</v>
      </c>
      <c r="D18" s="136" t="s">
        <v>27</v>
      </c>
      <c r="E18" s="474"/>
      <c r="F18" s="456"/>
      <c r="G18" s="456"/>
      <c r="H18" s="456"/>
      <c r="I18" s="456"/>
      <c r="J18" s="456"/>
      <c r="K18" s="456"/>
    </row>
    <row r="19" spans="1:15" x14ac:dyDescent="0.2">
      <c r="A19" s="174" t="s">
        <v>511</v>
      </c>
      <c r="B19" s="145">
        <f>PERCENTILE($N$25:$N$524,0.05)</f>
        <v>-5.5061003219964126</v>
      </c>
      <c r="C19" s="171">
        <f>PERCENTILE($O$25:$O$524,0.05)</f>
        <v>-535.20593632464102</v>
      </c>
      <c r="D19" s="136" t="s">
        <v>27</v>
      </c>
      <c r="E19" s="474"/>
      <c r="F19" s="456"/>
      <c r="G19" s="456"/>
      <c r="H19" s="456"/>
      <c r="I19" s="456"/>
      <c r="J19" s="456"/>
      <c r="K19" s="456"/>
    </row>
    <row r="20" spans="1:15" x14ac:dyDescent="0.2">
      <c r="A20" s="174" t="s">
        <v>512</v>
      </c>
      <c r="B20" s="145">
        <f>PERCENTILE($N$25:$N$524,0.95)</f>
        <v>581.18034811175517</v>
      </c>
      <c r="C20" s="171">
        <f>PERCENTILE($O$25:$O$524,0.95)</f>
        <v>110.16552226240313</v>
      </c>
      <c r="D20" s="136" t="s">
        <v>27</v>
      </c>
      <c r="E20" s="474"/>
      <c r="F20" s="456"/>
      <c r="G20" s="456"/>
      <c r="H20" s="456"/>
      <c r="I20" s="456"/>
      <c r="J20" s="456"/>
      <c r="K20" s="456"/>
    </row>
    <row r="21" spans="1:15" ht="16" thickBot="1" x14ac:dyDescent="0.25">
      <c r="A21" s="398" t="s">
        <v>513</v>
      </c>
      <c r="B21" s="399">
        <f>COUNTIF($N$25:$N$524,"&lt;0")/COUNT($N$25:$N$524)</f>
        <v>5.1999999999999998E-2</v>
      </c>
      <c r="C21" s="400">
        <f>COUNTIF($O$25:$O$524,"&lt;0")/COUNT($O$25:$O$524)</f>
        <v>0.878</v>
      </c>
      <c r="D21" s="142" t="s">
        <v>7</v>
      </c>
      <c r="E21" s="451"/>
      <c r="F21" s="452"/>
      <c r="G21" s="452"/>
      <c r="H21" s="452"/>
      <c r="I21" s="452"/>
      <c r="J21" s="452"/>
      <c r="K21" s="453"/>
    </row>
    <row r="23" spans="1:15" x14ac:dyDescent="0.2">
      <c r="A23" s="226" t="s">
        <v>514</v>
      </c>
    </row>
    <row r="24" spans="1:15" x14ac:dyDescent="0.2">
      <c r="A24" s="227" t="s">
        <v>515</v>
      </c>
      <c r="B24" s="227" t="s">
        <v>516</v>
      </c>
      <c r="C24" s="227" t="s">
        <v>517</v>
      </c>
      <c r="D24" s="227" t="s">
        <v>518</v>
      </c>
      <c r="E24" s="227" t="s">
        <v>519</v>
      </c>
      <c r="F24" s="227" t="s">
        <v>520</v>
      </c>
      <c r="G24" s="227" t="s">
        <v>521</v>
      </c>
      <c r="H24" s="227" t="s">
        <v>522</v>
      </c>
      <c r="I24" s="227" t="s">
        <v>523</v>
      </c>
      <c r="J24" s="227" t="s">
        <v>524</v>
      </c>
      <c r="K24" s="227" t="s">
        <v>525</v>
      </c>
      <c r="L24" s="227" t="s">
        <v>526</v>
      </c>
      <c r="M24" s="227" t="s">
        <v>527</v>
      </c>
      <c r="N24" s="227" t="s">
        <v>499</v>
      </c>
      <c r="O24" s="227" t="s">
        <v>501</v>
      </c>
    </row>
    <row r="25" spans="1:15" x14ac:dyDescent="0.2">
      <c r="A25" s="228">
        <v>1</v>
      </c>
      <c r="B25" s="229">
        <v>0.47009099999999998</v>
      </c>
      <c r="C25" s="229">
        <v>0.72826400000000002</v>
      </c>
      <c r="D25" s="229">
        <v>0.30375099999999999</v>
      </c>
      <c r="E25" s="229">
        <v>0.88729800000000003</v>
      </c>
      <c r="F25" s="229">
        <v>0.41008899999999998</v>
      </c>
      <c r="G25" s="229">
        <v>0.71661399999999997</v>
      </c>
      <c r="H25" s="230">
        <f>Proj_Inputs!$B$44+(Proj_Inputs!$C$44-Proj_Inputs!$B$44)*B25</f>
        <v>-5.9818000000000093E-3</v>
      </c>
      <c r="I25" s="230">
        <f>Proj_Inputs!$B$45+(Proj_Inputs!$C$45-Proj_Inputs!$B$45)*C25</f>
        <v>1.8261119999999999E-2</v>
      </c>
      <c r="J25" s="230">
        <f>Proj_Inputs!$B$46+(Proj_Inputs!$C$46-Proj_Inputs!$B$46)*D25</f>
        <v>-8.924979999999999E-2</v>
      </c>
      <c r="K25" s="230">
        <f>Proj_Inputs!$B$47+(Proj_Inputs!$C$47-Proj_Inputs!$B$47)*E25</f>
        <v>0.17182449999999999</v>
      </c>
      <c r="L25" s="230">
        <f>Proj_Inputs!$B$46+(Proj_Inputs!$C$46-Proj_Inputs!$B$46)*F25</f>
        <v>-6.7982199999999993E-2</v>
      </c>
      <c r="M25" s="230">
        <f>Proj_Inputs!$B$47+(Proj_Inputs!$C$47-Proj_Inputs!$B$47)*G25</f>
        <v>0.12915349999999998</v>
      </c>
      <c r="N25" s="231">
        <f>(1+H25)*(Proj_Inputs!$B$20+J25)/Proj_Inputs!$B$20*((Proj_Inputs!$B$21+I25)*(1-Proj_Inputs!$B$24)*NPV_Pirelli!$B$47+NPV_Pirelli!$B$49)+(1+K25)*NPV_Pirelli!$B$48</f>
        <v>246.21456219167999</v>
      </c>
      <c r="O25" s="231">
        <f>(1+H25)*(Proj_Inputs!$C$20+L25)/Proj_Inputs!$C$20*((Proj_Inputs!$C$21+I25)*(1-Proj_Inputs!$C$24)*NPV_Hankook!$B$47+NPV_Hankook!$B$49)+(1+M25)*NPV_Hankook!$B$48</f>
        <v>-212.01423644388592</v>
      </c>
    </row>
    <row r="26" spans="1:15" x14ac:dyDescent="0.2">
      <c r="A26" s="228">
        <v>2</v>
      </c>
      <c r="B26" s="229">
        <v>0.26522099999999998</v>
      </c>
      <c r="C26" s="229">
        <v>0.245167</v>
      </c>
      <c r="D26" s="229">
        <v>0.81258200000000003</v>
      </c>
      <c r="E26" s="229">
        <v>0.49830099999999999</v>
      </c>
      <c r="F26" s="229">
        <v>0.41587200000000002</v>
      </c>
      <c r="G26" s="229">
        <v>0.72775900000000004</v>
      </c>
      <c r="H26" s="230">
        <f>Proj_Inputs!$B$44+(Proj_Inputs!$C$44-Proj_Inputs!$B$44)*B26</f>
        <v>-4.6955800000000006E-2</v>
      </c>
      <c r="I26" s="230">
        <f>Proj_Inputs!$B$45+(Proj_Inputs!$C$45-Proj_Inputs!$B$45)*C26</f>
        <v>-2.0386640000000001E-2</v>
      </c>
      <c r="J26" s="230">
        <f>Proj_Inputs!$B$46+(Proj_Inputs!$C$46-Proj_Inputs!$B$46)*D26</f>
        <v>1.2516400000000011E-2</v>
      </c>
      <c r="K26" s="230">
        <f>Proj_Inputs!$B$47+(Proj_Inputs!$C$47-Proj_Inputs!$B$47)*E26</f>
        <v>7.4575249999999996E-2</v>
      </c>
      <c r="L26" s="230">
        <f>Proj_Inputs!$B$46+(Proj_Inputs!$C$46-Proj_Inputs!$B$46)*F26</f>
        <v>-6.6825599999999985E-2</v>
      </c>
      <c r="M26" s="230">
        <f>Proj_Inputs!$B$47+(Proj_Inputs!$C$47-Proj_Inputs!$B$47)*G26</f>
        <v>0.13193975000000002</v>
      </c>
      <c r="N26" s="231">
        <f>(1+H26)*(Proj_Inputs!$B$20+J26)/Proj_Inputs!$B$20*((Proj_Inputs!$B$21+I26)*(1-Proj_Inputs!$B$24)*NPV_Pirelli!$B$47+NPV_Pirelli!$B$49)+(1+K26)*NPV_Pirelli!$B$48</f>
        <v>184.43590182511957</v>
      </c>
      <c r="O26" s="231">
        <f>(1+H26)*(Proj_Inputs!$C$20+L26)/Proj_Inputs!$C$20*((Proj_Inputs!$C$21+I26)*(1-Proj_Inputs!$C$24)*NPV_Hankook!$B$47+NPV_Hankook!$B$49)+(1+M26)*NPV_Hankook!$B$48</f>
        <v>-492.87399511532965</v>
      </c>
    </row>
    <row r="27" spans="1:15" x14ac:dyDescent="0.2">
      <c r="A27" s="228">
        <v>3</v>
      </c>
      <c r="B27" s="229">
        <v>0.96325000000000005</v>
      </c>
      <c r="C27" s="229">
        <v>0.309529</v>
      </c>
      <c r="D27" s="229">
        <v>0.70406000000000002</v>
      </c>
      <c r="E27" s="229">
        <v>0.51935100000000001</v>
      </c>
      <c r="F27" s="229">
        <v>0.73136000000000001</v>
      </c>
      <c r="G27" s="229">
        <v>0.99966299999999997</v>
      </c>
      <c r="H27" s="230">
        <f>Proj_Inputs!$B$44+(Proj_Inputs!$C$44-Proj_Inputs!$B$44)*B27</f>
        <v>9.265000000000001E-2</v>
      </c>
      <c r="I27" s="230">
        <f>Proj_Inputs!$B$45+(Proj_Inputs!$C$45-Proj_Inputs!$B$45)*C27</f>
        <v>-1.523768E-2</v>
      </c>
      <c r="J27" s="230">
        <f>Proj_Inputs!$B$46+(Proj_Inputs!$C$46-Proj_Inputs!$B$46)*D27</f>
        <v>-9.187999999999974E-3</v>
      </c>
      <c r="K27" s="230">
        <f>Proj_Inputs!$B$47+(Proj_Inputs!$C$47-Proj_Inputs!$B$47)*E27</f>
        <v>7.9837749999999999E-2</v>
      </c>
      <c r="L27" s="230">
        <f>Proj_Inputs!$B$46+(Proj_Inputs!$C$46-Proj_Inputs!$B$46)*F27</f>
        <v>-3.7279999999999813E-3</v>
      </c>
      <c r="M27" s="230">
        <f>Proj_Inputs!$B$47+(Proj_Inputs!$C$47-Proj_Inputs!$B$47)*G27</f>
        <v>0.19991575</v>
      </c>
      <c r="N27" s="231">
        <f>(1+H27)*(Proj_Inputs!$B$20+J27)/Proj_Inputs!$B$20*((Proj_Inputs!$B$21+I27)*(1-Proj_Inputs!$B$24)*NPV_Pirelli!$B$47+NPV_Pirelli!$B$49)+(1+K27)*NPV_Pirelli!$B$48</f>
        <v>337.7144629976857</v>
      </c>
      <c r="O27" s="231">
        <f>(1+H27)*(Proj_Inputs!$C$20+L27)/Proj_Inputs!$C$20*((Proj_Inputs!$C$21+I27)*(1-Proj_Inputs!$C$24)*NPV_Hankook!$B$47+NPV_Hankook!$B$49)+(1+M27)*NPV_Hankook!$B$48</f>
        <v>-341.32667226394278</v>
      </c>
    </row>
    <row r="28" spans="1:15" x14ac:dyDescent="0.2">
      <c r="A28" s="228">
        <v>4</v>
      </c>
      <c r="B28" s="229">
        <v>0.20638200000000001</v>
      </c>
      <c r="C28" s="229">
        <v>0.75259100000000001</v>
      </c>
      <c r="D28" s="229">
        <v>0.46853299999999998</v>
      </c>
      <c r="E28" s="229">
        <v>0.70903499999999997</v>
      </c>
      <c r="F28" s="229">
        <v>0.87190699999999999</v>
      </c>
      <c r="G28" s="229">
        <v>0.148371</v>
      </c>
      <c r="H28" s="230">
        <f>Proj_Inputs!$B$44+(Proj_Inputs!$C$44-Proj_Inputs!$B$44)*B28</f>
        <v>-5.8723600000000001E-2</v>
      </c>
      <c r="I28" s="230">
        <f>Proj_Inputs!$B$45+(Proj_Inputs!$C$45-Proj_Inputs!$B$45)*C28</f>
        <v>2.0207280000000001E-2</v>
      </c>
      <c r="J28" s="230">
        <f>Proj_Inputs!$B$46+(Proj_Inputs!$C$46-Proj_Inputs!$B$46)*D28</f>
        <v>-5.6293399999999993E-2</v>
      </c>
      <c r="K28" s="230">
        <f>Proj_Inputs!$B$47+(Proj_Inputs!$C$47-Proj_Inputs!$B$47)*E28</f>
        <v>0.12725874999999998</v>
      </c>
      <c r="L28" s="230">
        <f>Proj_Inputs!$B$46+(Proj_Inputs!$C$46-Proj_Inputs!$B$46)*F28</f>
        <v>2.4381400000000025E-2</v>
      </c>
      <c r="M28" s="230">
        <f>Proj_Inputs!$B$47+(Proj_Inputs!$C$47-Proj_Inputs!$B$47)*G28</f>
        <v>-1.2907250000000002E-2</v>
      </c>
      <c r="N28" s="231">
        <f>(1+H28)*(Proj_Inputs!$B$20+J28)/Proj_Inputs!$B$20*((Proj_Inputs!$B$21+I28)*(1-Proj_Inputs!$B$24)*NPV_Pirelli!$B$47+NPV_Pirelli!$B$49)+(1+K28)*NPV_Pirelli!$B$48</f>
        <v>274.9280155837846</v>
      </c>
      <c r="O28" s="231">
        <f>(1+H28)*(Proj_Inputs!$C$20+L28)/Proj_Inputs!$C$20*((Proj_Inputs!$C$21+I28)*(1-Proj_Inputs!$C$24)*NPV_Hankook!$B$47+NPV_Hankook!$B$49)+(1+M28)*NPV_Hankook!$B$48</f>
        <v>23.488798979771445</v>
      </c>
    </row>
    <row r="29" spans="1:15" x14ac:dyDescent="0.2">
      <c r="A29" s="228">
        <v>5</v>
      </c>
      <c r="B29" s="229">
        <v>0.21261099999999999</v>
      </c>
      <c r="C29" s="229">
        <v>0.41191</v>
      </c>
      <c r="D29" s="229">
        <v>5.8485000000000002E-2</v>
      </c>
      <c r="E29" s="229">
        <v>0.34944500000000001</v>
      </c>
      <c r="F29" s="229">
        <v>0.41657100000000002</v>
      </c>
      <c r="G29" s="229">
        <v>0.124184</v>
      </c>
      <c r="H29" s="230">
        <f>Proj_Inputs!$B$44+(Proj_Inputs!$C$44-Proj_Inputs!$B$44)*B29</f>
        <v>-5.7477800000000003E-2</v>
      </c>
      <c r="I29" s="230">
        <f>Proj_Inputs!$B$45+(Proj_Inputs!$C$45-Proj_Inputs!$B$45)*C29</f>
        <v>-7.0472000000000035E-3</v>
      </c>
      <c r="J29" s="230">
        <f>Proj_Inputs!$B$46+(Proj_Inputs!$C$46-Proj_Inputs!$B$46)*D29</f>
        <v>-0.13830299999999998</v>
      </c>
      <c r="K29" s="230">
        <f>Proj_Inputs!$B$47+(Proj_Inputs!$C$47-Proj_Inputs!$B$47)*E29</f>
        <v>3.7361249999999999E-2</v>
      </c>
      <c r="L29" s="230">
        <f>Proj_Inputs!$B$46+(Proj_Inputs!$C$46-Proj_Inputs!$B$46)*F29</f>
        <v>-6.668579999999999E-2</v>
      </c>
      <c r="M29" s="230">
        <f>Proj_Inputs!$B$47+(Proj_Inputs!$C$47-Proj_Inputs!$B$47)*G29</f>
        <v>-1.8954000000000002E-2</v>
      </c>
      <c r="N29" s="231">
        <f>(1+H29)*(Proj_Inputs!$B$20+J29)/Proj_Inputs!$B$20*((Proj_Inputs!$B$21+I29)*(1-Proj_Inputs!$B$24)*NPV_Pirelli!$B$47+NPV_Pirelli!$B$49)+(1+K29)*NPV_Pirelli!$B$48</f>
        <v>99.594547568548251</v>
      </c>
      <c r="O29" s="231">
        <f>(1+H29)*(Proj_Inputs!$C$20+L29)/Proj_Inputs!$C$20*((Proj_Inputs!$C$21+I29)*(1-Proj_Inputs!$C$24)*NPV_Hankook!$B$47+NPV_Hankook!$B$49)+(1+M29)*NPV_Hankook!$B$48</f>
        <v>-246.51913292513791</v>
      </c>
    </row>
    <row r="30" spans="1:15" x14ac:dyDescent="0.2">
      <c r="A30" s="228">
        <v>6</v>
      </c>
      <c r="B30" s="229">
        <v>0.74350400000000005</v>
      </c>
      <c r="C30" s="229">
        <v>0.76281100000000002</v>
      </c>
      <c r="D30" s="229">
        <v>0.39030599999999999</v>
      </c>
      <c r="E30" s="229">
        <v>0.34529599999999999</v>
      </c>
      <c r="F30" s="229">
        <v>0.20114799999999999</v>
      </c>
      <c r="G30" s="229">
        <v>0.42680699999999999</v>
      </c>
      <c r="H30" s="230">
        <f>Proj_Inputs!$B$44+(Proj_Inputs!$C$44-Proj_Inputs!$B$44)*B30</f>
        <v>4.8700800000000016E-2</v>
      </c>
      <c r="I30" s="230">
        <f>Proj_Inputs!$B$45+(Proj_Inputs!$C$45-Proj_Inputs!$B$45)*C30</f>
        <v>2.1024880000000003E-2</v>
      </c>
      <c r="J30" s="230">
        <f>Proj_Inputs!$B$46+(Proj_Inputs!$C$46-Proj_Inputs!$B$46)*D30</f>
        <v>-7.1938799999999997E-2</v>
      </c>
      <c r="K30" s="230">
        <f>Proj_Inputs!$B$47+(Proj_Inputs!$C$47-Proj_Inputs!$B$47)*E30</f>
        <v>3.6323999999999995E-2</v>
      </c>
      <c r="L30" s="230">
        <f>Proj_Inputs!$B$46+(Proj_Inputs!$C$46-Proj_Inputs!$B$46)*F30</f>
        <v>-0.10977039999999999</v>
      </c>
      <c r="M30" s="230">
        <f>Proj_Inputs!$B$47+(Proj_Inputs!$C$47-Proj_Inputs!$B$47)*G30</f>
        <v>5.6701749999999995E-2</v>
      </c>
      <c r="N30" s="231">
        <f>(1+H30)*(Proj_Inputs!$B$20+J30)/Proj_Inputs!$B$20*((Proj_Inputs!$B$21+I30)*(1-Proj_Inputs!$B$24)*NPV_Pirelli!$B$47+NPV_Pirelli!$B$49)+(1+K30)*NPV_Pirelli!$B$48</f>
        <v>460.25402381995264</v>
      </c>
      <c r="O30" s="231">
        <f>(1+H30)*(Proj_Inputs!$C$20+L30)/Proj_Inputs!$C$20*((Proj_Inputs!$C$21+I30)*(1-Proj_Inputs!$C$24)*NPV_Hankook!$B$47+NPV_Hankook!$B$49)+(1+M30)*NPV_Hankook!$B$48</f>
        <v>-108.06122741822651</v>
      </c>
    </row>
    <row r="31" spans="1:15" x14ac:dyDescent="0.2">
      <c r="A31" s="228">
        <v>7</v>
      </c>
      <c r="B31" s="229">
        <v>0.31645400000000001</v>
      </c>
      <c r="C31" s="229">
        <v>0.214057</v>
      </c>
      <c r="D31" s="229">
        <v>0.86780100000000004</v>
      </c>
      <c r="E31" s="229">
        <v>0.229103</v>
      </c>
      <c r="F31" s="229">
        <v>4.0487000000000002E-2</v>
      </c>
      <c r="G31" s="229">
        <v>0.22522</v>
      </c>
      <c r="H31" s="230">
        <f>Proj_Inputs!$B$44+(Proj_Inputs!$C$44-Proj_Inputs!$B$44)*B31</f>
        <v>-3.6709199999999997E-2</v>
      </c>
      <c r="I31" s="230">
        <f>Proj_Inputs!$B$45+(Proj_Inputs!$C$45-Proj_Inputs!$B$45)*C31</f>
        <v>-2.287544E-2</v>
      </c>
      <c r="J31" s="230">
        <f>Proj_Inputs!$B$46+(Proj_Inputs!$C$46-Proj_Inputs!$B$46)*D31</f>
        <v>2.3560200000000031E-2</v>
      </c>
      <c r="K31" s="230">
        <f>Proj_Inputs!$B$47+(Proj_Inputs!$C$47-Proj_Inputs!$B$47)*E31</f>
        <v>7.2757499999999975E-3</v>
      </c>
      <c r="L31" s="230">
        <f>Proj_Inputs!$B$46+(Proj_Inputs!$C$46-Proj_Inputs!$B$46)*F31</f>
        <v>-0.14190259999999999</v>
      </c>
      <c r="M31" s="230">
        <f>Proj_Inputs!$B$47+(Proj_Inputs!$C$47-Proj_Inputs!$B$47)*G31</f>
        <v>6.3049999999999981E-3</v>
      </c>
      <c r="N31" s="231">
        <f>(1+H31)*(Proj_Inputs!$B$20+J31)/Proj_Inputs!$B$20*((Proj_Inputs!$B$21+I31)*(1-Proj_Inputs!$B$24)*NPV_Pirelli!$B$47+NPV_Pirelli!$B$49)+(1+K31)*NPV_Pirelli!$B$48</f>
        <v>245.98203901793067</v>
      </c>
      <c r="O31" s="231">
        <f>(1+H31)*(Proj_Inputs!$C$20+L31)/Proj_Inputs!$C$20*((Proj_Inputs!$C$21+I31)*(1-Proj_Inputs!$C$24)*NPV_Hankook!$B$47+NPV_Hankook!$B$49)+(1+M31)*NPV_Hankook!$B$48</f>
        <v>-426.74468654797238</v>
      </c>
    </row>
    <row r="32" spans="1:15" x14ac:dyDescent="0.2">
      <c r="A32" s="228">
        <v>8</v>
      </c>
      <c r="B32" s="229">
        <v>1.9421000000000001E-2</v>
      </c>
      <c r="C32" s="229">
        <v>0.86541199999999996</v>
      </c>
      <c r="D32" s="229">
        <v>0.84395900000000001</v>
      </c>
      <c r="E32" s="229">
        <v>0.31922400000000001</v>
      </c>
      <c r="F32" s="229">
        <v>0.96034600000000003</v>
      </c>
      <c r="G32" s="229">
        <v>0.80438100000000001</v>
      </c>
      <c r="H32" s="230">
        <f>Proj_Inputs!$B$44+(Proj_Inputs!$C$44-Proj_Inputs!$B$44)*B32</f>
        <v>-9.6115800000000001E-2</v>
      </c>
      <c r="I32" s="230">
        <f>Proj_Inputs!$B$45+(Proj_Inputs!$C$45-Proj_Inputs!$B$45)*C32</f>
        <v>2.9232959999999995E-2</v>
      </c>
      <c r="J32" s="230">
        <f>Proj_Inputs!$B$46+(Proj_Inputs!$C$46-Proj_Inputs!$B$46)*D32</f>
        <v>1.8791800000000025E-2</v>
      </c>
      <c r="K32" s="230">
        <f>Proj_Inputs!$B$47+(Proj_Inputs!$C$47-Proj_Inputs!$B$47)*E32</f>
        <v>2.9805999999999999E-2</v>
      </c>
      <c r="L32" s="230">
        <f>Proj_Inputs!$B$46+(Proj_Inputs!$C$46-Proj_Inputs!$B$46)*F32</f>
        <v>4.2069200000000029E-2</v>
      </c>
      <c r="M32" s="230">
        <f>Proj_Inputs!$B$47+(Proj_Inputs!$C$47-Proj_Inputs!$B$47)*G32</f>
        <v>0.15109525000000001</v>
      </c>
      <c r="N32" s="231">
        <f>(1+H32)*(Proj_Inputs!$B$20+J32)/Proj_Inputs!$B$20*((Proj_Inputs!$B$21+I32)*(1-Proj_Inputs!$B$24)*NPV_Pirelli!$B$47+NPV_Pirelli!$B$49)+(1+K32)*NPV_Pirelli!$B$48</f>
        <v>456.49274647518916</v>
      </c>
      <c r="O32" s="231">
        <f>(1+H32)*(Proj_Inputs!$C$20+L32)/Proj_Inputs!$C$20*((Proj_Inputs!$C$21+I32)*(1-Proj_Inputs!$C$24)*NPV_Hankook!$B$47+NPV_Hankook!$B$49)+(1+M32)*NPV_Hankook!$B$48</f>
        <v>-133.79167505761916</v>
      </c>
    </row>
    <row r="33" spans="1:15" x14ac:dyDescent="0.2">
      <c r="A33" s="228">
        <v>9</v>
      </c>
      <c r="B33" s="229">
        <v>0.42104900000000001</v>
      </c>
      <c r="C33" s="229">
        <v>0.112035</v>
      </c>
      <c r="D33" s="229">
        <v>0.85134100000000001</v>
      </c>
      <c r="E33" s="229">
        <v>0.60669899999999999</v>
      </c>
      <c r="F33" s="229">
        <v>0.230602</v>
      </c>
      <c r="G33" s="229">
        <v>0.99508600000000003</v>
      </c>
      <c r="H33" s="230">
        <f>Proj_Inputs!$B$44+(Proj_Inputs!$C$44-Proj_Inputs!$B$44)*B33</f>
        <v>-1.5790200000000004E-2</v>
      </c>
      <c r="I33" s="230">
        <f>Proj_Inputs!$B$45+(Proj_Inputs!$C$45-Proj_Inputs!$B$45)*C33</f>
        <v>-3.1037200000000001E-2</v>
      </c>
      <c r="J33" s="230">
        <f>Proj_Inputs!$B$46+(Proj_Inputs!$C$46-Proj_Inputs!$B$46)*D33</f>
        <v>2.0268200000000014E-2</v>
      </c>
      <c r="K33" s="230">
        <f>Proj_Inputs!$B$47+(Proj_Inputs!$C$47-Proj_Inputs!$B$47)*E33</f>
        <v>0.10167474999999999</v>
      </c>
      <c r="L33" s="230">
        <f>Proj_Inputs!$B$46+(Proj_Inputs!$C$46-Proj_Inputs!$B$46)*F33</f>
        <v>-0.10387959999999999</v>
      </c>
      <c r="M33" s="230">
        <f>Proj_Inputs!$B$47+(Proj_Inputs!$C$47-Proj_Inputs!$B$47)*G33</f>
        <v>0.19877149999999999</v>
      </c>
      <c r="N33" s="231">
        <f>(1+H33)*(Proj_Inputs!$B$20+J33)/Proj_Inputs!$B$20*((Proj_Inputs!$B$21+I33)*(1-Proj_Inputs!$B$24)*NPV_Pirelli!$B$47+NPV_Pirelli!$B$49)+(1+K33)*NPV_Pirelli!$B$48</f>
        <v>139.54922058938428</v>
      </c>
      <c r="O33" s="231">
        <f>(1+H33)*(Proj_Inputs!$C$20+L33)/Proj_Inputs!$C$20*((Proj_Inputs!$C$21+I33)*(1-Proj_Inputs!$C$24)*NPV_Hankook!$B$47+NPV_Hankook!$B$49)+(1+M33)*NPV_Hankook!$B$48</f>
        <v>-645.06342878892883</v>
      </c>
    </row>
    <row r="34" spans="1:15" x14ac:dyDescent="0.2">
      <c r="A34" s="228">
        <v>10</v>
      </c>
      <c r="B34" s="229">
        <v>0.36571100000000001</v>
      </c>
      <c r="C34" s="229">
        <v>0.20309199999999999</v>
      </c>
      <c r="D34" s="229">
        <v>0.493342</v>
      </c>
      <c r="E34" s="229">
        <v>0.83651399999999998</v>
      </c>
      <c r="F34" s="229">
        <v>0.14139699999999999</v>
      </c>
      <c r="G34" s="229">
        <v>0.38727200000000001</v>
      </c>
      <c r="H34" s="230">
        <f>Proj_Inputs!$B$44+(Proj_Inputs!$C$44-Proj_Inputs!$B$44)*B34</f>
        <v>-2.6857800000000001E-2</v>
      </c>
      <c r="I34" s="230">
        <f>Proj_Inputs!$B$45+(Proj_Inputs!$C$45-Proj_Inputs!$B$45)*C34</f>
        <v>-2.3752640000000002E-2</v>
      </c>
      <c r="J34" s="230">
        <f>Proj_Inputs!$B$46+(Proj_Inputs!$C$46-Proj_Inputs!$B$46)*D34</f>
        <v>-5.1331599999999991E-2</v>
      </c>
      <c r="K34" s="230">
        <f>Proj_Inputs!$B$47+(Proj_Inputs!$C$47-Proj_Inputs!$B$47)*E34</f>
        <v>0.15912850000000001</v>
      </c>
      <c r="L34" s="230">
        <f>Proj_Inputs!$B$46+(Proj_Inputs!$C$46-Proj_Inputs!$B$46)*F34</f>
        <v>-0.1217206</v>
      </c>
      <c r="M34" s="230">
        <f>Proj_Inputs!$B$47+(Proj_Inputs!$C$47-Proj_Inputs!$B$47)*G34</f>
        <v>4.6817999999999999E-2</v>
      </c>
      <c r="N34" s="231">
        <f>(1+H34)*(Proj_Inputs!$B$20+J34)/Proj_Inputs!$B$20*((Proj_Inputs!$B$21+I34)*(1-Proj_Inputs!$B$24)*NPV_Pirelli!$B$47+NPV_Pirelli!$B$49)+(1+K34)*NPV_Pirelli!$B$48</f>
        <v>46.724222000170698</v>
      </c>
      <c r="O34" s="231">
        <f>(1+H34)*(Proj_Inputs!$C$20+L34)/Proj_Inputs!$C$20*((Proj_Inputs!$C$21+I34)*(1-Proj_Inputs!$C$24)*NPV_Hankook!$B$47+NPV_Hankook!$B$49)+(1+M34)*NPV_Hankook!$B$48</f>
        <v>-451.31849940041684</v>
      </c>
    </row>
    <row r="35" spans="1:15" x14ac:dyDescent="0.2">
      <c r="A35" s="228">
        <v>11</v>
      </c>
      <c r="B35" s="229">
        <v>0.33726</v>
      </c>
      <c r="C35" s="229">
        <v>0.940052</v>
      </c>
      <c r="D35" s="229">
        <v>0.99916499999999997</v>
      </c>
      <c r="E35" s="229">
        <v>0.46496100000000001</v>
      </c>
      <c r="F35" s="229">
        <v>0.16981499999999999</v>
      </c>
      <c r="G35" s="229">
        <v>0.69559000000000004</v>
      </c>
      <c r="H35" s="230">
        <f>Proj_Inputs!$B$44+(Proj_Inputs!$C$44-Proj_Inputs!$B$44)*B35</f>
        <v>-3.2548000000000007E-2</v>
      </c>
      <c r="I35" s="230">
        <f>Proj_Inputs!$B$45+(Proj_Inputs!$C$45-Proj_Inputs!$B$45)*C35</f>
        <v>3.5204160000000005E-2</v>
      </c>
      <c r="J35" s="230">
        <f>Proj_Inputs!$B$46+(Proj_Inputs!$C$46-Proj_Inputs!$B$46)*D35</f>
        <v>4.9833000000000016E-2</v>
      </c>
      <c r="K35" s="230">
        <f>Proj_Inputs!$B$47+(Proj_Inputs!$C$47-Proj_Inputs!$B$47)*E35</f>
        <v>6.6240250000000001E-2</v>
      </c>
      <c r="L35" s="230">
        <f>Proj_Inputs!$B$46+(Proj_Inputs!$C$46-Proj_Inputs!$B$46)*F35</f>
        <v>-0.116037</v>
      </c>
      <c r="M35" s="230">
        <f>Proj_Inputs!$B$47+(Proj_Inputs!$C$47-Proj_Inputs!$B$47)*G35</f>
        <v>0.12389750000000001</v>
      </c>
      <c r="N35" s="231">
        <f>(1+H35)*(Proj_Inputs!$B$20+J35)/Proj_Inputs!$B$20*((Proj_Inputs!$B$21+I35)*(1-Proj_Inputs!$B$24)*NPV_Pirelli!$B$47+NPV_Pirelli!$B$49)+(1+K35)*NPV_Pirelli!$B$48</f>
        <v>600.54832865726848</v>
      </c>
      <c r="O35" s="231">
        <f>(1+H35)*(Proj_Inputs!$C$20+L35)/Proj_Inputs!$C$20*((Proj_Inputs!$C$21+I35)*(1-Proj_Inputs!$C$24)*NPV_Hankook!$B$47+NPV_Hankook!$B$49)+(1+M35)*NPV_Hankook!$B$48</f>
        <v>-199.409695317554</v>
      </c>
    </row>
    <row r="36" spans="1:15" x14ac:dyDescent="0.2">
      <c r="A36" s="228">
        <v>12</v>
      </c>
      <c r="B36" s="229">
        <v>0.86118499999999998</v>
      </c>
      <c r="C36" s="229">
        <v>0.33181300000000002</v>
      </c>
      <c r="D36" s="229">
        <v>0.20691100000000001</v>
      </c>
      <c r="E36" s="229">
        <v>0.68657299999999999</v>
      </c>
      <c r="F36" s="229">
        <v>9.7990999999999995E-2</v>
      </c>
      <c r="G36" s="229">
        <v>0.843557</v>
      </c>
      <c r="H36" s="230">
        <f>Proj_Inputs!$B$44+(Proj_Inputs!$C$44-Proj_Inputs!$B$44)*B36</f>
        <v>7.2236999999999996E-2</v>
      </c>
      <c r="I36" s="230">
        <f>Proj_Inputs!$B$45+(Proj_Inputs!$C$45-Proj_Inputs!$B$45)*C36</f>
        <v>-1.3454959999999998E-2</v>
      </c>
      <c r="J36" s="230">
        <f>Proj_Inputs!$B$46+(Proj_Inputs!$C$46-Proj_Inputs!$B$46)*D36</f>
        <v>-0.10861779999999999</v>
      </c>
      <c r="K36" s="230">
        <f>Proj_Inputs!$B$47+(Proj_Inputs!$C$47-Proj_Inputs!$B$47)*E36</f>
        <v>0.12164324999999999</v>
      </c>
      <c r="L36" s="230">
        <f>Proj_Inputs!$B$46+(Proj_Inputs!$C$46-Proj_Inputs!$B$46)*F36</f>
        <v>-0.13040179999999998</v>
      </c>
      <c r="M36" s="230">
        <f>Proj_Inputs!$B$47+(Proj_Inputs!$C$47-Proj_Inputs!$B$47)*G36</f>
        <v>0.16088924999999998</v>
      </c>
      <c r="N36" s="231">
        <f>(1+H36)*(Proj_Inputs!$B$20+J36)/Proj_Inputs!$B$20*((Proj_Inputs!$B$21+I36)*(1-Proj_Inputs!$B$24)*NPV_Pirelli!$B$47+NPV_Pirelli!$B$49)+(1+K36)*NPV_Pirelli!$B$48</f>
        <v>162.70816866787436</v>
      </c>
      <c r="O36" s="231">
        <f>(1+H36)*(Proj_Inputs!$C$20+L36)/Proj_Inputs!$C$20*((Proj_Inputs!$C$21+I36)*(1-Proj_Inputs!$C$24)*NPV_Hankook!$B$47+NPV_Hankook!$B$49)+(1+M36)*NPV_Hankook!$B$48</f>
        <v>-450.68475753090354</v>
      </c>
    </row>
    <row r="37" spans="1:15" x14ac:dyDescent="0.2">
      <c r="A37" s="228">
        <v>13</v>
      </c>
      <c r="B37" s="229">
        <v>4.3169999999999997E-3</v>
      </c>
      <c r="C37" s="229">
        <v>0.15065899999999999</v>
      </c>
      <c r="D37" s="229">
        <v>0.70384000000000002</v>
      </c>
      <c r="E37" s="229">
        <v>0.35028500000000001</v>
      </c>
      <c r="F37" s="229">
        <v>8.1438999999999998E-2</v>
      </c>
      <c r="G37" s="229">
        <v>0.80300899999999997</v>
      </c>
      <c r="H37" s="230">
        <f>Proj_Inputs!$B$44+(Proj_Inputs!$C$44-Proj_Inputs!$B$44)*B37</f>
        <v>-9.9136600000000005E-2</v>
      </c>
      <c r="I37" s="230">
        <f>Proj_Inputs!$B$45+(Proj_Inputs!$C$45-Proj_Inputs!$B$45)*C37</f>
        <v>-2.7947280000000001E-2</v>
      </c>
      <c r="J37" s="230">
        <f>Proj_Inputs!$B$46+(Proj_Inputs!$C$46-Proj_Inputs!$B$46)*D37</f>
        <v>-9.2319999999999902E-3</v>
      </c>
      <c r="K37" s="230">
        <f>Proj_Inputs!$B$47+(Proj_Inputs!$C$47-Proj_Inputs!$B$47)*E37</f>
        <v>3.757125E-2</v>
      </c>
      <c r="L37" s="230">
        <f>Proj_Inputs!$B$46+(Proj_Inputs!$C$46-Proj_Inputs!$B$46)*F37</f>
        <v>-0.1337122</v>
      </c>
      <c r="M37" s="230">
        <f>Proj_Inputs!$B$47+(Proj_Inputs!$C$47-Proj_Inputs!$B$47)*G37</f>
        <v>0.15075224999999998</v>
      </c>
      <c r="N37" s="231">
        <f>(1+H37)*(Proj_Inputs!$B$20+J37)/Proj_Inputs!$B$20*((Proj_Inputs!$B$21+I37)*(1-Proj_Inputs!$B$24)*NPV_Pirelli!$B$47+NPV_Pirelli!$B$49)+(1+K37)*NPV_Pirelli!$B$48</f>
        <v>92.185025624895729</v>
      </c>
      <c r="O37" s="231">
        <f>(1+H37)*(Proj_Inputs!$C$20+L37)/Proj_Inputs!$C$20*((Proj_Inputs!$C$21+I37)*(1-Proj_Inputs!$C$24)*NPV_Hankook!$B$47+NPV_Hankook!$B$49)+(1+M37)*NPV_Hankook!$B$48</f>
        <v>-662.13470700352889</v>
      </c>
    </row>
    <row r="38" spans="1:15" x14ac:dyDescent="0.2">
      <c r="A38" s="228">
        <v>14</v>
      </c>
      <c r="B38" s="229">
        <v>0.239285</v>
      </c>
      <c r="C38" s="229">
        <v>0.46116499999999999</v>
      </c>
      <c r="D38" s="229">
        <v>0.26362600000000003</v>
      </c>
      <c r="E38" s="229">
        <v>0.52369900000000003</v>
      </c>
      <c r="F38" s="229">
        <v>0.43601699999999999</v>
      </c>
      <c r="G38" s="229">
        <v>0.97201499999999996</v>
      </c>
      <c r="H38" s="230">
        <f>Proj_Inputs!$B$44+(Proj_Inputs!$C$44-Proj_Inputs!$B$44)*B38</f>
        <v>-5.2143000000000002E-2</v>
      </c>
      <c r="I38" s="230">
        <f>Proj_Inputs!$B$45+(Proj_Inputs!$C$45-Proj_Inputs!$B$45)*C38</f>
        <v>-3.1067999999999998E-3</v>
      </c>
      <c r="J38" s="230">
        <f>Proj_Inputs!$B$46+(Proj_Inputs!$C$46-Proj_Inputs!$B$46)*D38</f>
        <v>-9.7274799999999995E-2</v>
      </c>
      <c r="K38" s="230">
        <f>Proj_Inputs!$B$47+(Proj_Inputs!$C$47-Proj_Inputs!$B$47)*E38</f>
        <v>8.0924750000000004E-2</v>
      </c>
      <c r="L38" s="230">
        <f>Proj_Inputs!$B$46+(Proj_Inputs!$C$46-Proj_Inputs!$B$46)*F38</f>
        <v>-6.2796599999999994E-2</v>
      </c>
      <c r="M38" s="230">
        <f>Proj_Inputs!$B$47+(Proj_Inputs!$C$47-Proj_Inputs!$B$47)*G38</f>
        <v>0.19300374999999997</v>
      </c>
      <c r="N38" s="231">
        <f>(1+H38)*(Proj_Inputs!$B$20+J38)/Proj_Inputs!$B$20*((Proj_Inputs!$B$21+I38)*(1-Proj_Inputs!$B$24)*NPV_Pirelli!$B$47+NPV_Pirelli!$B$49)+(1+K38)*NPV_Pirelli!$B$48</f>
        <v>140.74618413265648</v>
      </c>
      <c r="O38" s="231">
        <f>(1+H38)*(Proj_Inputs!$C$20+L38)/Proj_Inputs!$C$20*((Proj_Inputs!$C$21+I38)*(1-Proj_Inputs!$C$24)*NPV_Hankook!$B$47+NPV_Hankook!$B$49)+(1+M38)*NPV_Hankook!$B$48</f>
        <v>-460.01702444122066</v>
      </c>
    </row>
    <row r="39" spans="1:15" x14ac:dyDescent="0.2">
      <c r="A39" s="228">
        <v>15</v>
      </c>
      <c r="B39" s="229">
        <v>0.200936</v>
      </c>
      <c r="C39" s="229">
        <v>7.0847999999999994E-2</v>
      </c>
      <c r="D39" s="229">
        <v>0.30250100000000002</v>
      </c>
      <c r="E39" s="229">
        <v>0.135767</v>
      </c>
      <c r="F39" s="229">
        <v>0.66160399999999997</v>
      </c>
      <c r="G39" s="229">
        <v>0.250027</v>
      </c>
      <c r="H39" s="230">
        <f>Proj_Inputs!$B$44+(Proj_Inputs!$C$44-Proj_Inputs!$B$44)*B39</f>
        <v>-5.9812799999999999E-2</v>
      </c>
      <c r="I39" s="230">
        <f>Proj_Inputs!$B$45+(Proj_Inputs!$C$45-Proj_Inputs!$B$45)*C39</f>
        <v>-3.433216E-2</v>
      </c>
      <c r="J39" s="230">
        <f>Proj_Inputs!$B$46+(Proj_Inputs!$C$46-Proj_Inputs!$B$46)*D39</f>
        <v>-8.949979999999999E-2</v>
      </c>
      <c r="K39" s="230">
        <f>Proj_Inputs!$B$47+(Proj_Inputs!$C$47-Proj_Inputs!$B$47)*E39</f>
        <v>-1.6058250000000003E-2</v>
      </c>
      <c r="L39" s="230">
        <f>Proj_Inputs!$B$46+(Proj_Inputs!$C$46-Proj_Inputs!$B$46)*F39</f>
        <v>-1.7679200000000006E-2</v>
      </c>
      <c r="M39" s="230">
        <f>Proj_Inputs!$B$47+(Proj_Inputs!$C$47-Proj_Inputs!$B$47)*G39</f>
        <v>1.2506749999999997E-2</v>
      </c>
      <c r="N39" s="231">
        <f>(1+H39)*(Proj_Inputs!$B$20+J39)/Proj_Inputs!$B$20*((Proj_Inputs!$B$21+I39)*(1-Proj_Inputs!$B$24)*NPV_Pirelli!$B$47+NPV_Pirelli!$B$49)+(1+K39)*NPV_Pirelli!$B$48</f>
        <v>55.155821072523963</v>
      </c>
      <c r="O39" s="231">
        <f>(1+H39)*(Proj_Inputs!$C$20+L39)/Proj_Inputs!$C$20*((Proj_Inputs!$C$21+I39)*(1-Proj_Inputs!$C$24)*NPV_Hankook!$B$47+NPV_Hankook!$B$49)+(1+M39)*NPV_Hankook!$B$48</f>
        <v>-405.19659770158739</v>
      </c>
    </row>
    <row r="40" spans="1:15" x14ac:dyDescent="0.2">
      <c r="A40" s="228">
        <v>16</v>
      </c>
      <c r="B40" s="229">
        <v>0.10061199999999999</v>
      </c>
      <c r="C40" s="229">
        <v>0.21868599999999999</v>
      </c>
      <c r="D40" s="229">
        <v>0.19544</v>
      </c>
      <c r="E40" s="229">
        <v>0.38859900000000003</v>
      </c>
      <c r="F40" s="229">
        <v>0.51526799999999995</v>
      </c>
      <c r="G40" s="229">
        <v>0.22323699999999999</v>
      </c>
      <c r="H40" s="230">
        <f>Proj_Inputs!$B$44+(Proj_Inputs!$C$44-Proj_Inputs!$B$44)*B40</f>
        <v>-7.9877600000000007E-2</v>
      </c>
      <c r="I40" s="230">
        <f>Proj_Inputs!$B$45+(Proj_Inputs!$C$45-Proj_Inputs!$B$45)*C40</f>
        <v>-2.250512E-2</v>
      </c>
      <c r="J40" s="230">
        <f>Proj_Inputs!$B$46+(Proj_Inputs!$C$46-Proj_Inputs!$B$46)*D40</f>
        <v>-0.11091199999999998</v>
      </c>
      <c r="K40" s="230">
        <f>Proj_Inputs!$B$47+(Proj_Inputs!$C$47-Proj_Inputs!$B$47)*E40</f>
        <v>4.7149750000000004E-2</v>
      </c>
      <c r="L40" s="230">
        <f>Proj_Inputs!$B$46+(Proj_Inputs!$C$46-Proj_Inputs!$B$46)*F40</f>
        <v>-4.6946399999999999E-2</v>
      </c>
      <c r="M40" s="230">
        <f>Proj_Inputs!$B$47+(Proj_Inputs!$C$47-Proj_Inputs!$B$47)*G40</f>
        <v>5.809249999999995E-3</v>
      </c>
      <c r="N40" s="231">
        <f>(1+H40)*(Proj_Inputs!$B$20+J40)/Proj_Inputs!$B$20*((Proj_Inputs!$B$21+I40)*(1-Proj_Inputs!$B$24)*NPV_Pirelli!$B$47+NPV_Pirelli!$B$49)+(1+K40)*NPV_Pirelli!$B$48</f>
        <v>25.137125083860269</v>
      </c>
      <c r="O40" s="231">
        <f>(1+H40)*(Proj_Inputs!$C$20+L40)/Proj_Inputs!$C$20*((Proj_Inputs!$C$21+I40)*(1-Proj_Inputs!$C$24)*NPV_Hankook!$B$47+NPV_Hankook!$B$49)+(1+M40)*NPV_Hankook!$B$48</f>
        <v>-368.28932088340434</v>
      </c>
    </row>
    <row r="41" spans="1:15" x14ac:dyDescent="0.2">
      <c r="A41" s="228">
        <v>17</v>
      </c>
      <c r="B41" s="229">
        <v>0.35461100000000001</v>
      </c>
      <c r="C41" s="229">
        <v>0.70254499999999998</v>
      </c>
      <c r="D41" s="229">
        <v>0.79977799999999999</v>
      </c>
      <c r="E41" s="229">
        <v>0.57885900000000001</v>
      </c>
      <c r="F41" s="229">
        <v>0.93203400000000003</v>
      </c>
      <c r="G41" s="229">
        <v>0.54415999999999998</v>
      </c>
      <c r="H41" s="230">
        <f>Proj_Inputs!$B$44+(Proj_Inputs!$C$44-Proj_Inputs!$B$44)*B41</f>
        <v>-2.9077800000000001E-2</v>
      </c>
      <c r="I41" s="230">
        <f>Proj_Inputs!$B$45+(Proj_Inputs!$C$45-Proj_Inputs!$B$45)*C41</f>
        <v>1.6203599999999999E-2</v>
      </c>
      <c r="J41" s="230">
        <f>Proj_Inputs!$B$46+(Proj_Inputs!$C$46-Proj_Inputs!$B$46)*D41</f>
        <v>9.9556000000000089E-3</v>
      </c>
      <c r="K41" s="230">
        <f>Proj_Inputs!$B$47+(Proj_Inputs!$C$47-Proj_Inputs!$B$47)*E41</f>
        <v>9.471475E-2</v>
      </c>
      <c r="L41" s="230">
        <f>Proj_Inputs!$B$46+(Proj_Inputs!$C$46-Proj_Inputs!$B$46)*F41</f>
        <v>3.6406800000000017E-2</v>
      </c>
      <c r="M41" s="230">
        <f>Proj_Inputs!$B$47+(Proj_Inputs!$C$47-Proj_Inputs!$B$47)*G41</f>
        <v>8.6039999999999991E-2</v>
      </c>
      <c r="N41" s="231">
        <f>(1+H41)*(Proj_Inputs!$B$20+J41)/Proj_Inputs!$B$20*((Proj_Inputs!$B$21+I41)*(1-Proj_Inputs!$B$24)*NPV_Pirelli!$B$47+NPV_Pirelli!$B$49)+(1+K41)*NPV_Pirelli!$B$48</f>
        <v>407.16392329804773</v>
      </c>
      <c r="O41" s="231">
        <f>(1+H41)*(Proj_Inputs!$C$20+L41)/Proj_Inputs!$C$20*((Proj_Inputs!$C$21+I41)*(1-Proj_Inputs!$C$24)*NPV_Hankook!$B$47+NPV_Hankook!$B$49)+(1+M41)*NPV_Hankook!$B$48</f>
        <v>-66.705406294690647</v>
      </c>
    </row>
    <row r="42" spans="1:15" x14ac:dyDescent="0.2">
      <c r="A42" s="228">
        <v>18</v>
      </c>
      <c r="B42" s="229">
        <v>0.93613199999999996</v>
      </c>
      <c r="C42" s="229">
        <v>0.72046200000000005</v>
      </c>
      <c r="D42" s="229">
        <v>0.63342699999999996</v>
      </c>
      <c r="E42" s="229">
        <v>0.118551</v>
      </c>
      <c r="F42" s="229">
        <v>5.5766000000000003E-2</v>
      </c>
      <c r="G42" s="229">
        <v>0.125473</v>
      </c>
      <c r="H42" s="230">
        <f>Proj_Inputs!$B$44+(Proj_Inputs!$C$44-Proj_Inputs!$B$44)*B42</f>
        <v>8.7226400000000009E-2</v>
      </c>
      <c r="I42" s="230">
        <f>Proj_Inputs!$B$45+(Proj_Inputs!$C$45-Proj_Inputs!$B$45)*C42</f>
        <v>1.7636960000000007E-2</v>
      </c>
      <c r="J42" s="230">
        <f>Proj_Inputs!$B$46+(Proj_Inputs!$C$46-Proj_Inputs!$B$46)*D42</f>
        <v>-2.3314599999999991E-2</v>
      </c>
      <c r="K42" s="230">
        <f>Proj_Inputs!$B$47+(Proj_Inputs!$C$47-Proj_Inputs!$B$47)*E42</f>
        <v>-2.0362250000000002E-2</v>
      </c>
      <c r="L42" s="230">
        <f>Proj_Inputs!$B$46+(Proj_Inputs!$C$46-Proj_Inputs!$B$46)*F42</f>
        <v>-0.13884679999999999</v>
      </c>
      <c r="M42" s="230">
        <f>Proj_Inputs!$B$47+(Proj_Inputs!$C$47-Proj_Inputs!$B$47)*G42</f>
        <v>-1.8631750000000002E-2</v>
      </c>
      <c r="N42" s="231">
        <f>(1+H42)*(Proj_Inputs!$B$20+J42)/Proj_Inputs!$B$20*((Proj_Inputs!$B$21+I42)*(1-Proj_Inputs!$B$24)*NPV_Pirelli!$B$47+NPV_Pirelli!$B$49)+(1+K42)*NPV_Pirelli!$B$48</f>
        <v>607.4231273540405</v>
      </c>
      <c r="O42" s="231">
        <f>(1+H42)*(Proj_Inputs!$C$20+L42)/Proj_Inputs!$C$20*((Proj_Inputs!$C$21+I42)*(1-Proj_Inputs!$C$24)*NPV_Hankook!$B$47+NPV_Hankook!$B$49)+(1+M42)*NPV_Hankook!$B$48</f>
        <v>-43.355083871085981</v>
      </c>
    </row>
    <row r="43" spans="1:15" x14ac:dyDescent="0.2">
      <c r="A43" s="228">
        <v>19</v>
      </c>
      <c r="B43" s="229">
        <v>0.82954499999999998</v>
      </c>
      <c r="C43" s="229">
        <v>0.90667200000000003</v>
      </c>
      <c r="D43" s="229">
        <v>0.61494599999999999</v>
      </c>
      <c r="E43" s="229">
        <v>8.7873000000000007E-2</v>
      </c>
      <c r="F43" s="229">
        <v>0.50414000000000003</v>
      </c>
      <c r="G43" s="229">
        <v>0.23625199999999999</v>
      </c>
      <c r="H43" s="230">
        <f>Proj_Inputs!$B$44+(Proj_Inputs!$C$44-Proj_Inputs!$B$44)*B43</f>
        <v>6.5908999999999995E-2</v>
      </c>
      <c r="I43" s="230">
        <f>Proj_Inputs!$B$45+(Proj_Inputs!$C$45-Proj_Inputs!$B$45)*C43</f>
        <v>3.2533760000000002E-2</v>
      </c>
      <c r="J43" s="230">
        <f>Proj_Inputs!$B$46+(Proj_Inputs!$C$46-Proj_Inputs!$B$46)*D43</f>
        <v>-2.7010799999999988E-2</v>
      </c>
      <c r="K43" s="230">
        <f>Proj_Inputs!$B$47+(Proj_Inputs!$C$47-Proj_Inputs!$B$47)*E43</f>
        <v>-2.8031750000000001E-2</v>
      </c>
      <c r="L43" s="230">
        <f>Proj_Inputs!$B$46+(Proj_Inputs!$C$46-Proj_Inputs!$B$46)*F43</f>
        <v>-4.917199999999998E-2</v>
      </c>
      <c r="M43" s="230">
        <f>Proj_Inputs!$B$47+(Proj_Inputs!$C$47-Proj_Inputs!$B$47)*G43</f>
        <v>9.0629999999999947E-3</v>
      </c>
      <c r="N43" s="231">
        <f>(1+H43)*(Proj_Inputs!$B$20+J43)/Proj_Inputs!$B$20*((Proj_Inputs!$B$21+I43)*(1-Proj_Inputs!$B$24)*NPV_Pirelli!$B$47+NPV_Pirelli!$B$49)+(1+K43)*NPV_Pirelli!$B$48</f>
        <v>675.99409900726266</v>
      </c>
      <c r="O43" s="231">
        <f>(1+H43)*(Proj_Inputs!$C$20+L43)/Proj_Inputs!$C$20*((Proj_Inputs!$C$21+I43)*(1-Proj_Inputs!$C$24)*NPV_Hankook!$B$47+NPV_Hankook!$B$49)+(1+M43)*NPV_Hankook!$B$48</f>
        <v>132.62289561304442</v>
      </c>
    </row>
    <row r="44" spans="1:15" x14ac:dyDescent="0.2">
      <c r="A44" s="228">
        <v>20</v>
      </c>
      <c r="B44" s="229">
        <v>0.58393600000000001</v>
      </c>
      <c r="C44" s="229">
        <v>0.73184000000000005</v>
      </c>
      <c r="D44" s="229">
        <v>0.16203600000000001</v>
      </c>
      <c r="E44" s="229">
        <v>0.12531500000000001</v>
      </c>
      <c r="F44" s="229">
        <v>0.104297</v>
      </c>
      <c r="G44" s="229">
        <v>0.94359700000000002</v>
      </c>
      <c r="H44" s="230">
        <f>Proj_Inputs!$B$44+(Proj_Inputs!$C$44-Proj_Inputs!$B$44)*B44</f>
        <v>1.6787200000000002E-2</v>
      </c>
      <c r="I44" s="230">
        <f>Proj_Inputs!$B$45+(Proj_Inputs!$C$45-Proj_Inputs!$B$45)*C44</f>
        <v>1.8547200000000007E-2</v>
      </c>
      <c r="J44" s="230">
        <f>Proj_Inputs!$B$46+(Proj_Inputs!$C$46-Proj_Inputs!$B$46)*D44</f>
        <v>-0.1175928</v>
      </c>
      <c r="K44" s="230">
        <f>Proj_Inputs!$B$47+(Proj_Inputs!$C$47-Proj_Inputs!$B$47)*E44</f>
        <v>-1.867125E-2</v>
      </c>
      <c r="L44" s="230">
        <f>Proj_Inputs!$B$46+(Proj_Inputs!$C$46-Proj_Inputs!$B$46)*F44</f>
        <v>-0.12914059999999999</v>
      </c>
      <c r="M44" s="230">
        <f>Proj_Inputs!$B$47+(Proj_Inputs!$C$47-Proj_Inputs!$B$47)*G44</f>
        <v>0.18589925000000002</v>
      </c>
      <c r="N44" s="231">
        <f>(1+H44)*(Proj_Inputs!$B$20+J44)/Proj_Inputs!$B$20*((Proj_Inputs!$B$21+I44)*(1-Proj_Inputs!$B$24)*NPV_Pirelli!$B$47+NPV_Pirelli!$B$49)+(1+K44)*NPV_Pirelli!$B$48</f>
        <v>382.91686106713041</v>
      </c>
      <c r="O44" s="231">
        <f>(1+H44)*(Proj_Inputs!$C$20+L44)/Proj_Inputs!$C$20*((Proj_Inputs!$C$21+I44)*(1-Proj_Inputs!$C$24)*NPV_Hankook!$B$47+NPV_Hankook!$B$49)+(1+M44)*NPV_Hankook!$B$48</f>
        <v>-333.9121820411458</v>
      </c>
    </row>
    <row r="45" spans="1:15" x14ac:dyDescent="0.2">
      <c r="A45" s="228">
        <v>21</v>
      </c>
      <c r="B45" s="229">
        <v>0.56167599999999995</v>
      </c>
      <c r="C45" s="229">
        <v>0.99462399999999995</v>
      </c>
      <c r="D45" s="229">
        <v>0.63151100000000004</v>
      </c>
      <c r="E45" s="229">
        <v>0.59538500000000005</v>
      </c>
      <c r="F45" s="229">
        <v>0.560033</v>
      </c>
      <c r="G45" s="229">
        <v>0.54428500000000002</v>
      </c>
      <c r="H45" s="230">
        <f>Proj_Inputs!$B$44+(Proj_Inputs!$C$44-Proj_Inputs!$B$44)*B45</f>
        <v>1.2335199999999991E-2</v>
      </c>
      <c r="I45" s="230">
        <f>Proj_Inputs!$B$45+(Proj_Inputs!$C$45-Proj_Inputs!$B$45)*C45</f>
        <v>3.9569920000000001E-2</v>
      </c>
      <c r="J45" s="230">
        <f>Proj_Inputs!$B$46+(Proj_Inputs!$C$46-Proj_Inputs!$B$46)*D45</f>
        <v>-2.3697799999999991E-2</v>
      </c>
      <c r="K45" s="230">
        <f>Proj_Inputs!$B$47+(Proj_Inputs!$C$47-Proj_Inputs!$B$47)*E45</f>
        <v>9.884625000000001E-2</v>
      </c>
      <c r="L45" s="230">
        <f>Proj_Inputs!$B$46+(Proj_Inputs!$C$46-Proj_Inputs!$B$46)*F45</f>
        <v>-3.7993399999999983E-2</v>
      </c>
      <c r="M45" s="230">
        <f>Proj_Inputs!$B$47+(Proj_Inputs!$C$47-Proj_Inputs!$B$47)*G45</f>
        <v>8.6071250000000002E-2</v>
      </c>
      <c r="N45" s="231">
        <f>(1+H45)*(Proj_Inputs!$B$20+J45)/Proj_Inputs!$B$20*((Proj_Inputs!$B$21+I45)*(1-Proj_Inputs!$B$24)*NPV_Pirelli!$B$47+NPV_Pirelli!$B$49)+(1+K45)*NPV_Pirelli!$B$48</f>
        <v>551.5830076894722</v>
      </c>
      <c r="O45" s="231">
        <f>(1+H45)*(Proj_Inputs!$C$20+L45)/Proj_Inputs!$C$20*((Proj_Inputs!$C$21+I45)*(1-Proj_Inputs!$C$24)*NPV_Hankook!$B$47+NPV_Hankook!$B$49)+(1+M45)*NPV_Hankook!$B$48</f>
        <v>40.430309042753606</v>
      </c>
    </row>
    <row r="46" spans="1:15" x14ac:dyDescent="0.2">
      <c r="A46" s="228">
        <v>22</v>
      </c>
      <c r="B46" s="229">
        <v>0.31474000000000002</v>
      </c>
      <c r="C46" s="229">
        <v>0.122864</v>
      </c>
      <c r="D46" s="229">
        <v>2.8920000000000001E-2</v>
      </c>
      <c r="E46" s="229">
        <v>6.1482000000000002E-2</v>
      </c>
      <c r="F46" s="229">
        <v>0.63534900000000005</v>
      </c>
      <c r="G46" s="229">
        <v>0.62489700000000004</v>
      </c>
      <c r="H46" s="230">
        <f>Proj_Inputs!$B$44+(Proj_Inputs!$C$44-Proj_Inputs!$B$44)*B46</f>
        <v>-3.7052000000000002E-2</v>
      </c>
      <c r="I46" s="230">
        <f>Proj_Inputs!$B$45+(Proj_Inputs!$C$45-Proj_Inputs!$B$45)*C46</f>
        <v>-3.0170880000000001E-2</v>
      </c>
      <c r="J46" s="230">
        <f>Proj_Inputs!$B$46+(Proj_Inputs!$C$46-Proj_Inputs!$B$46)*D46</f>
        <v>-0.14421599999999998</v>
      </c>
      <c r="K46" s="230">
        <f>Proj_Inputs!$B$47+(Proj_Inputs!$C$47-Proj_Inputs!$B$47)*E46</f>
        <v>-3.4629500000000001E-2</v>
      </c>
      <c r="L46" s="230">
        <f>Proj_Inputs!$B$46+(Proj_Inputs!$C$46-Proj_Inputs!$B$46)*F46</f>
        <v>-2.2930199999999984E-2</v>
      </c>
      <c r="M46" s="230">
        <f>Proj_Inputs!$B$47+(Proj_Inputs!$C$47-Proj_Inputs!$B$47)*G46</f>
        <v>0.10622425000000001</v>
      </c>
      <c r="N46" s="231">
        <f>(1+H46)*(Proj_Inputs!$B$20+J46)/Proj_Inputs!$B$20*((Proj_Inputs!$B$21+I46)*(1-Proj_Inputs!$B$24)*NPV_Pirelli!$B$47+NPV_Pirelli!$B$49)+(1+K46)*NPV_Pirelli!$B$48</f>
        <v>53.279163789414838</v>
      </c>
      <c r="O46" s="231">
        <f>(1+H46)*(Proj_Inputs!$C$20+L46)/Proj_Inputs!$C$20*((Proj_Inputs!$C$21+I46)*(1-Proj_Inputs!$C$24)*NPV_Hankook!$B$47+NPV_Hankook!$B$49)+(1+M46)*NPV_Hankook!$B$48</f>
        <v>-473.46168774320381</v>
      </c>
    </row>
    <row r="47" spans="1:15" x14ac:dyDescent="0.2">
      <c r="A47" s="228">
        <v>23</v>
      </c>
      <c r="B47" s="229">
        <v>0.61986399999999997</v>
      </c>
      <c r="C47" s="229">
        <v>0.210173</v>
      </c>
      <c r="D47" s="229">
        <v>0.20785500000000001</v>
      </c>
      <c r="E47" s="229">
        <v>0.19009599999999999</v>
      </c>
      <c r="F47" s="229">
        <v>0.18615799999999999</v>
      </c>
      <c r="G47" s="229">
        <v>0.313662</v>
      </c>
      <c r="H47" s="230">
        <f>Proj_Inputs!$B$44+(Proj_Inputs!$C$44-Proj_Inputs!$B$44)*B47</f>
        <v>2.3972799999999989E-2</v>
      </c>
      <c r="I47" s="230">
        <f>Proj_Inputs!$B$45+(Proj_Inputs!$C$45-Proj_Inputs!$B$45)*C47</f>
        <v>-2.3186160000000001E-2</v>
      </c>
      <c r="J47" s="230">
        <f>Proj_Inputs!$B$46+(Proj_Inputs!$C$46-Proj_Inputs!$B$46)*D47</f>
        <v>-0.108429</v>
      </c>
      <c r="K47" s="230">
        <f>Proj_Inputs!$B$47+(Proj_Inputs!$C$47-Proj_Inputs!$B$47)*E47</f>
        <v>-2.476000000000006E-3</v>
      </c>
      <c r="L47" s="230">
        <f>Proj_Inputs!$B$46+(Proj_Inputs!$C$46-Proj_Inputs!$B$46)*F47</f>
        <v>-0.11276839999999999</v>
      </c>
      <c r="M47" s="230">
        <f>Proj_Inputs!$B$47+(Proj_Inputs!$C$47-Proj_Inputs!$B$47)*G47</f>
        <v>2.8415499999999996E-2</v>
      </c>
      <c r="N47" s="231">
        <f>(1+H47)*(Proj_Inputs!$B$20+J47)/Proj_Inputs!$B$20*((Proj_Inputs!$B$21+I47)*(1-Proj_Inputs!$B$24)*NPV_Pirelli!$B$47+NPV_Pirelli!$B$49)+(1+K47)*NPV_Pirelli!$B$48</f>
        <v>159.45413790055125</v>
      </c>
      <c r="O47" s="231">
        <f>(1+H47)*(Proj_Inputs!$C$20+L47)/Proj_Inputs!$C$20*((Proj_Inputs!$C$21+I47)*(1-Proj_Inputs!$C$24)*NPV_Hankook!$B$47+NPV_Hankook!$B$49)+(1+M47)*NPV_Hankook!$B$48</f>
        <v>-377.1224477249134</v>
      </c>
    </row>
    <row r="48" spans="1:15" x14ac:dyDescent="0.2">
      <c r="A48" s="228">
        <v>24</v>
      </c>
      <c r="B48" s="229">
        <v>0.73259799999999997</v>
      </c>
      <c r="C48" s="229">
        <v>0.63429999999999997</v>
      </c>
      <c r="D48" s="229">
        <v>0.83462099999999995</v>
      </c>
      <c r="E48" s="229">
        <v>0.80581999999999998</v>
      </c>
      <c r="F48" s="229">
        <v>0.217281</v>
      </c>
      <c r="G48" s="229">
        <v>0.58633000000000002</v>
      </c>
      <c r="H48" s="230">
        <f>Proj_Inputs!$B$44+(Proj_Inputs!$C$44-Proj_Inputs!$B$44)*B48</f>
        <v>4.6519599999999994E-2</v>
      </c>
      <c r="I48" s="230">
        <f>Proj_Inputs!$B$45+(Proj_Inputs!$C$45-Proj_Inputs!$B$45)*C48</f>
        <v>1.0743999999999997E-2</v>
      </c>
      <c r="J48" s="230">
        <f>Proj_Inputs!$B$46+(Proj_Inputs!$C$46-Proj_Inputs!$B$46)*D48</f>
        <v>1.69242E-2</v>
      </c>
      <c r="K48" s="230">
        <f>Proj_Inputs!$B$47+(Proj_Inputs!$C$47-Proj_Inputs!$B$47)*E48</f>
        <v>0.15145500000000001</v>
      </c>
      <c r="L48" s="230">
        <f>Proj_Inputs!$B$46+(Proj_Inputs!$C$46-Proj_Inputs!$B$46)*F48</f>
        <v>-0.10654379999999999</v>
      </c>
      <c r="M48" s="230">
        <f>Proj_Inputs!$B$47+(Proj_Inputs!$C$47-Proj_Inputs!$B$47)*G48</f>
        <v>9.6582500000000002E-2</v>
      </c>
      <c r="N48" s="231">
        <f>(1+H48)*(Proj_Inputs!$B$20+J48)/Proj_Inputs!$B$20*((Proj_Inputs!$B$21+I48)*(1-Proj_Inputs!$B$24)*NPV_Pirelli!$B$47+NPV_Pirelli!$B$49)+(1+K48)*NPV_Pirelli!$B$48</f>
        <v>435.80570060570096</v>
      </c>
      <c r="O48" s="231">
        <f>(1+H48)*(Proj_Inputs!$C$20+L48)/Proj_Inputs!$C$20*((Proj_Inputs!$C$21+I48)*(1-Proj_Inputs!$C$24)*NPV_Hankook!$B$47+NPV_Hankook!$B$49)+(1+M48)*NPV_Hankook!$B$48</f>
        <v>-217.22378122582836</v>
      </c>
    </row>
    <row r="49" spans="1:15" x14ac:dyDescent="0.2">
      <c r="A49" s="228">
        <v>25</v>
      </c>
      <c r="B49" s="229">
        <v>0.44873299999999999</v>
      </c>
      <c r="C49" s="229">
        <v>0.41842200000000002</v>
      </c>
      <c r="D49" s="229">
        <v>0.70303199999999999</v>
      </c>
      <c r="E49" s="229">
        <v>0.882386</v>
      </c>
      <c r="F49" s="229">
        <v>0.16037599999999999</v>
      </c>
      <c r="G49" s="229">
        <v>0.39789999999999998</v>
      </c>
      <c r="H49" s="230">
        <f>Proj_Inputs!$B$44+(Proj_Inputs!$C$44-Proj_Inputs!$B$44)*B49</f>
        <v>-1.0253399999999996E-2</v>
      </c>
      <c r="I49" s="230">
        <f>Proj_Inputs!$B$45+(Proj_Inputs!$C$45-Proj_Inputs!$B$45)*C49</f>
        <v>-6.5262399999999957E-3</v>
      </c>
      <c r="J49" s="230">
        <f>Proj_Inputs!$B$46+(Proj_Inputs!$C$46-Proj_Inputs!$B$46)*D49</f>
        <v>-9.3936000000000019E-3</v>
      </c>
      <c r="K49" s="230">
        <f>Proj_Inputs!$B$47+(Proj_Inputs!$C$47-Proj_Inputs!$B$47)*E49</f>
        <v>0.17059649999999998</v>
      </c>
      <c r="L49" s="230">
        <f>Proj_Inputs!$B$46+(Proj_Inputs!$C$46-Proj_Inputs!$B$46)*F49</f>
        <v>-0.1179248</v>
      </c>
      <c r="M49" s="230">
        <f>Proj_Inputs!$B$47+(Proj_Inputs!$C$47-Proj_Inputs!$B$47)*G49</f>
        <v>4.9474999999999991E-2</v>
      </c>
      <c r="N49" s="231">
        <f>(1+H49)*(Proj_Inputs!$B$20+J49)/Proj_Inputs!$B$20*((Proj_Inputs!$B$21+I49)*(1-Proj_Inputs!$B$24)*NPV_Pirelli!$B$47+NPV_Pirelli!$B$49)+(1+K49)*NPV_Pirelli!$B$48</f>
        <v>206.71986486541221</v>
      </c>
      <c r="O49" s="231">
        <f>(1+H49)*(Proj_Inputs!$C$20+L49)/Proj_Inputs!$C$20*((Proj_Inputs!$C$21+I49)*(1-Proj_Inputs!$C$24)*NPV_Hankook!$B$47+NPV_Hankook!$B$49)+(1+M49)*NPV_Hankook!$B$48</f>
        <v>-335.99462942722369</v>
      </c>
    </row>
    <row r="50" spans="1:15" x14ac:dyDescent="0.2">
      <c r="A50" s="228">
        <v>26</v>
      </c>
      <c r="B50" s="229">
        <v>0.75262799999999996</v>
      </c>
      <c r="C50" s="229">
        <v>0.35668</v>
      </c>
      <c r="D50" s="229">
        <v>0.68662999999999996</v>
      </c>
      <c r="E50" s="229">
        <v>0.11924999999999999</v>
      </c>
      <c r="F50" s="229">
        <v>0.67470399999999997</v>
      </c>
      <c r="G50" s="229">
        <v>0.77282700000000004</v>
      </c>
      <c r="H50" s="230">
        <f>Proj_Inputs!$B$44+(Proj_Inputs!$C$44-Proj_Inputs!$B$44)*B50</f>
        <v>5.0525600000000004E-2</v>
      </c>
      <c r="I50" s="230">
        <f>Proj_Inputs!$B$45+(Proj_Inputs!$C$45-Proj_Inputs!$B$45)*C50</f>
        <v>-1.1465599999999999E-2</v>
      </c>
      <c r="J50" s="230">
        <f>Proj_Inputs!$B$46+(Proj_Inputs!$C$46-Proj_Inputs!$B$46)*D50</f>
        <v>-1.2673999999999991E-2</v>
      </c>
      <c r="K50" s="230">
        <f>Proj_Inputs!$B$47+(Proj_Inputs!$C$47-Proj_Inputs!$B$47)*E50</f>
        <v>-2.0187500000000004E-2</v>
      </c>
      <c r="L50" s="230">
        <f>Proj_Inputs!$B$46+(Proj_Inputs!$C$46-Proj_Inputs!$B$46)*F50</f>
        <v>-1.5059199999999995E-2</v>
      </c>
      <c r="M50" s="230">
        <f>Proj_Inputs!$B$47+(Proj_Inputs!$C$47-Proj_Inputs!$B$47)*G50</f>
        <v>0.14320674999999999</v>
      </c>
      <c r="N50" s="231">
        <f>(1+H50)*(Proj_Inputs!$B$20+J50)/Proj_Inputs!$B$20*((Proj_Inputs!$B$21+I50)*(1-Proj_Inputs!$B$24)*NPV_Pirelli!$B$47+NPV_Pirelli!$B$49)+(1+K50)*NPV_Pirelli!$B$48</f>
        <v>390.42522651087506</v>
      </c>
      <c r="O50" s="231">
        <f>(1+H50)*(Proj_Inputs!$C$20+L50)/Proj_Inputs!$C$20*((Proj_Inputs!$C$21+I50)*(1-Proj_Inputs!$C$24)*NPV_Hankook!$B$47+NPV_Hankook!$B$49)+(1+M50)*NPV_Hankook!$B$48</f>
        <v>-302.12772807967895</v>
      </c>
    </row>
    <row r="51" spans="1:15" x14ac:dyDescent="0.2">
      <c r="A51" s="228">
        <v>27</v>
      </c>
      <c r="B51" s="229">
        <v>0.75211099999999997</v>
      </c>
      <c r="C51" s="229">
        <v>0.41921999999999998</v>
      </c>
      <c r="D51" s="229">
        <v>0.97635099999999997</v>
      </c>
      <c r="E51" s="229">
        <v>0.21418200000000001</v>
      </c>
      <c r="F51" s="229">
        <v>0.464617</v>
      </c>
      <c r="G51" s="229">
        <v>0.49641099999999999</v>
      </c>
      <c r="H51" s="230">
        <f>Proj_Inputs!$B$44+(Proj_Inputs!$C$44-Proj_Inputs!$B$44)*B51</f>
        <v>5.04222E-2</v>
      </c>
      <c r="I51" s="230">
        <f>Proj_Inputs!$B$45+(Proj_Inputs!$C$45-Proj_Inputs!$B$45)*C51</f>
        <v>-6.4624000000000001E-3</v>
      </c>
      <c r="J51" s="230">
        <f>Proj_Inputs!$B$46+(Proj_Inputs!$C$46-Proj_Inputs!$B$46)*D51</f>
        <v>4.527020000000001E-2</v>
      </c>
      <c r="K51" s="230">
        <f>Proj_Inputs!$B$47+(Proj_Inputs!$C$47-Proj_Inputs!$B$47)*E51</f>
        <v>3.5455E-3</v>
      </c>
      <c r="L51" s="230">
        <f>Proj_Inputs!$B$46+(Proj_Inputs!$C$46-Proj_Inputs!$B$46)*F51</f>
        <v>-5.7076599999999991E-2</v>
      </c>
      <c r="M51" s="230">
        <f>Proj_Inputs!$B$47+(Proj_Inputs!$C$47-Proj_Inputs!$B$47)*G51</f>
        <v>7.4102749999999995E-2</v>
      </c>
      <c r="N51" s="231">
        <f>(1+H51)*(Proj_Inputs!$B$20+J51)/Proj_Inputs!$B$20*((Proj_Inputs!$B$21+I51)*(1-Proj_Inputs!$B$24)*NPV_Pirelli!$B$47+NPV_Pirelli!$B$49)+(1+K51)*NPV_Pirelli!$B$48</f>
        <v>481.67712359099471</v>
      </c>
      <c r="O51" s="231">
        <f>(1+H51)*(Proj_Inputs!$C$20+L51)/Proj_Inputs!$C$20*((Proj_Inputs!$C$21+I51)*(1-Proj_Inputs!$C$24)*NPV_Hankook!$B$47+NPV_Hankook!$B$49)+(1+M51)*NPV_Hankook!$B$48</f>
        <v>-236.90148452332539</v>
      </c>
    </row>
    <row r="52" spans="1:15" x14ac:dyDescent="0.2">
      <c r="A52" s="228">
        <v>28</v>
      </c>
      <c r="B52" s="229">
        <v>0.80582600000000004</v>
      </c>
      <c r="C52" s="229">
        <v>0.43156600000000001</v>
      </c>
      <c r="D52" s="229">
        <v>1.0651000000000001E-2</v>
      </c>
      <c r="E52" s="229">
        <v>0.33998800000000001</v>
      </c>
      <c r="F52" s="229">
        <v>0.97318000000000005</v>
      </c>
      <c r="G52" s="229">
        <v>0.93813599999999997</v>
      </c>
      <c r="H52" s="230">
        <f>Proj_Inputs!$B$44+(Proj_Inputs!$C$44-Proj_Inputs!$B$44)*B52</f>
        <v>6.1165200000000003E-2</v>
      </c>
      <c r="I52" s="230">
        <f>Proj_Inputs!$B$45+(Proj_Inputs!$C$45-Proj_Inputs!$B$45)*C52</f>
        <v>-5.4747200000000024E-3</v>
      </c>
      <c r="J52" s="230">
        <f>Proj_Inputs!$B$46+(Proj_Inputs!$C$46-Proj_Inputs!$B$46)*D52</f>
        <v>-0.1478698</v>
      </c>
      <c r="K52" s="230">
        <f>Proj_Inputs!$B$47+(Proj_Inputs!$C$47-Proj_Inputs!$B$47)*E52</f>
        <v>3.4997E-2</v>
      </c>
      <c r="L52" s="230">
        <f>Proj_Inputs!$B$46+(Proj_Inputs!$C$46-Proj_Inputs!$B$46)*F52</f>
        <v>4.4636000000000037E-2</v>
      </c>
      <c r="M52" s="230">
        <f>Proj_Inputs!$B$47+(Proj_Inputs!$C$47-Proj_Inputs!$B$47)*G52</f>
        <v>0.18453399999999998</v>
      </c>
      <c r="N52" s="231">
        <f>(1+H52)*(Proj_Inputs!$B$20+J52)/Proj_Inputs!$B$20*((Proj_Inputs!$B$21+I52)*(1-Proj_Inputs!$B$24)*NPV_Pirelli!$B$47+NPV_Pirelli!$B$49)+(1+K52)*NPV_Pirelli!$B$48</f>
        <v>212.59253986854344</v>
      </c>
      <c r="O52" s="231">
        <f>(1+H52)*(Proj_Inputs!$C$20+L52)/Proj_Inputs!$C$20*((Proj_Inputs!$C$21+I52)*(1-Proj_Inputs!$C$24)*NPV_Hankook!$B$47+NPV_Hankook!$B$49)+(1+M52)*NPV_Hankook!$B$48</f>
        <v>-224.03394373680749</v>
      </c>
    </row>
    <row r="53" spans="1:15" x14ac:dyDescent="0.2">
      <c r="A53" s="228">
        <v>29</v>
      </c>
      <c r="B53" s="229">
        <v>0.25567899999999999</v>
      </c>
      <c r="C53" s="229">
        <v>0.733074</v>
      </c>
      <c r="D53" s="229">
        <v>0.22509799999999999</v>
      </c>
      <c r="E53" s="229">
        <v>0.96930000000000005</v>
      </c>
      <c r="F53" s="229">
        <v>0.82651699999999995</v>
      </c>
      <c r="G53" s="229">
        <v>0.84635899999999997</v>
      </c>
      <c r="H53" s="230">
        <f>Proj_Inputs!$B$44+(Proj_Inputs!$C$44-Proj_Inputs!$B$44)*B53</f>
        <v>-4.8864200000000003E-2</v>
      </c>
      <c r="I53" s="230">
        <f>Proj_Inputs!$B$45+(Proj_Inputs!$C$45-Proj_Inputs!$B$45)*C53</f>
        <v>1.8645920000000003E-2</v>
      </c>
      <c r="J53" s="230">
        <f>Proj_Inputs!$B$46+(Proj_Inputs!$C$46-Proj_Inputs!$B$46)*D53</f>
        <v>-0.1049804</v>
      </c>
      <c r="K53" s="230">
        <f>Proj_Inputs!$B$47+(Proj_Inputs!$C$47-Proj_Inputs!$B$47)*E53</f>
        <v>0.19232500000000002</v>
      </c>
      <c r="L53" s="230">
        <f>Proj_Inputs!$B$46+(Proj_Inputs!$C$46-Proj_Inputs!$B$46)*F53</f>
        <v>1.5303399999999995E-2</v>
      </c>
      <c r="M53" s="230">
        <f>Proj_Inputs!$B$47+(Proj_Inputs!$C$47-Proj_Inputs!$B$47)*G53</f>
        <v>0.16158974999999998</v>
      </c>
      <c r="N53" s="231">
        <f>(1+H53)*(Proj_Inputs!$B$20+J53)/Proj_Inputs!$B$20*((Proj_Inputs!$B$21+I53)*(1-Proj_Inputs!$B$24)*NPV_Pirelli!$B$47+NPV_Pirelli!$B$49)+(1+K53)*NPV_Pirelli!$B$48</f>
        <v>159.85578771532789</v>
      </c>
      <c r="O53" s="231">
        <f>(1+H53)*(Proj_Inputs!$C$20+L53)/Proj_Inputs!$C$20*((Proj_Inputs!$C$21+I53)*(1-Proj_Inputs!$C$24)*NPV_Hankook!$B$47+NPV_Hankook!$B$49)+(1+M53)*NPV_Hankook!$B$48</f>
        <v>-189.20961414040926</v>
      </c>
    </row>
    <row r="54" spans="1:15" x14ac:dyDescent="0.2">
      <c r="A54" s="228">
        <v>30</v>
      </c>
      <c r="B54" s="229">
        <v>6.7512000000000003E-2</v>
      </c>
      <c r="C54" s="229">
        <v>0.88281200000000004</v>
      </c>
      <c r="D54" s="229">
        <v>0.174954</v>
      </c>
      <c r="E54" s="229">
        <v>0.86131800000000003</v>
      </c>
      <c r="F54" s="229">
        <v>0.307446</v>
      </c>
      <c r="G54" s="229">
        <v>0.91642100000000004</v>
      </c>
      <c r="H54" s="230">
        <f>Proj_Inputs!$B$44+(Proj_Inputs!$C$44-Proj_Inputs!$B$44)*B54</f>
        <v>-8.6497600000000008E-2</v>
      </c>
      <c r="I54" s="230">
        <f>Proj_Inputs!$B$45+(Proj_Inputs!$C$45-Proj_Inputs!$B$45)*C54</f>
        <v>3.062496E-2</v>
      </c>
      <c r="J54" s="230">
        <f>Proj_Inputs!$B$46+(Proj_Inputs!$C$46-Proj_Inputs!$B$46)*D54</f>
        <v>-0.11500919999999999</v>
      </c>
      <c r="K54" s="230">
        <f>Proj_Inputs!$B$47+(Proj_Inputs!$C$47-Proj_Inputs!$B$47)*E54</f>
        <v>0.16532950000000002</v>
      </c>
      <c r="L54" s="230">
        <f>Proj_Inputs!$B$46+(Proj_Inputs!$C$46-Proj_Inputs!$B$46)*F54</f>
        <v>-8.8510800000000001E-2</v>
      </c>
      <c r="M54" s="230">
        <f>Proj_Inputs!$B$47+(Proj_Inputs!$C$47-Proj_Inputs!$B$47)*G54</f>
        <v>0.17910524999999999</v>
      </c>
      <c r="N54" s="231">
        <f>(1+H54)*(Proj_Inputs!$B$20+J54)/Proj_Inputs!$B$20*((Proj_Inputs!$B$21+I54)*(1-Proj_Inputs!$B$24)*NPV_Pirelli!$B$47+NPV_Pirelli!$B$49)+(1+K54)*NPV_Pirelli!$B$48</f>
        <v>183.34040865280633</v>
      </c>
      <c r="O54" s="231">
        <f>(1+H54)*(Proj_Inputs!$C$20+L54)/Proj_Inputs!$C$20*((Proj_Inputs!$C$21+I54)*(1-Proj_Inputs!$C$24)*NPV_Hankook!$B$47+NPV_Hankook!$B$49)+(1+M54)*NPV_Hankook!$B$48</f>
        <v>-314.53516901331682</v>
      </c>
    </row>
    <row r="55" spans="1:15" x14ac:dyDescent="0.2">
      <c r="A55" s="228">
        <v>31</v>
      </c>
      <c r="B55" s="229">
        <v>0.49501099999999998</v>
      </c>
      <c r="C55" s="229">
        <v>0.362898</v>
      </c>
      <c r="D55" s="229">
        <v>0.46627000000000002</v>
      </c>
      <c r="E55" s="229">
        <v>0.43385499999999999</v>
      </c>
      <c r="F55" s="229">
        <v>0.49193799999999999</v>
      </c>
      <c r="G55" s="229">
        <v>0.32634200000000002</v>
      </c>
      <c r="H55" s="230">
        <f>Proj_Inputs!$B$44+(Proj_Inputs!$C$44-Proj_Inputs!$B$44)*B55</f>
        <v>-9.9780000000000701E-4</v>
      </c>
      <c r="I55" s="230">
        <f>Proj_Inputs!$B$45+(Proj_Inputs!$C$45-Proj_Inputs!$B$45)*C55</f>
        <v>-1.0968160000000001E-2</v>
      </c>
      <c r="J55" s="230">
        <f>Proj_Inputs!$B$46+(Proj_Inputs!$C$46-Proj_Inputs!$B$46)*D55</f>
        <v>-5.6745999999999991E-2</v>
      </c>
      <c r="K55" s="230">
        <f>Proj_Inputs!$B$47+(Proj_Inputs!$C$47-Proj_Inputs!$B$47)*E55</f>
        <v>5.8463749999999995E-2</v>
      </c>
      <c r="L55" s="230">
        <f>Proj_Inputs!$B$46+(Proj_Inputs!$C$46-Proj_Inputs!$B$46)*F55</f>
        <v>-5.1612399999999989E-2</v>
      </c>
      <c r="M55" s="230">
        <f>Proj_Inputs!$B$47+(Proj_Inputs!$C$47-Proj_Inputs!$B$47)*G55</f>
        <v>3.1585500000000002E-2</v>
      </c>
      <c r="N55" s="231">
        <f>(1+H55)*(Proj_Inputs!$B$20+J55)/Proj_Inputs!$B$20*((Proj_Inputs!$B$21+I55)*(1-Proj_Inputs!$B$24)*NPV_Pirelli!$B$47+NPV_Pirelli!$B$49)+(1+K55)*NPV_Pirelli!$B$48</f>
        <v>219.34356666749306</v>
      </c>
      <c r="O55" s="231">
        <f>(1+H55)*(Proj_Inputs!$C$20+L55)/Proj_Inputs!$C$20*((Proj_Inputs!$C$21+I55)*(1-Proj_Inputs!$C$24)*NPV_Hankook!$B$47+NPV_Hankook!$B$49)+(1+M55)*NPV_Hankook!$B$48</f>
        <v>-259.84594709028579</v>
      </c>
    </row>
    <row r="56" spans="1:15" x14ac:dyDescent="0.2">
      <c r="A56" s="228">
        <v>32</v>
      </c>
      <c r="B56" s="229">
        <v>3.7286E-2</v>
      </c>
      <c r="C56" s="229">
        <v>0.121584</v>
      </c>
      <c r="D56" s="229">
        <v>0.36342099999999999</v>
      </c>
      <c r="E56" s="229">
        <v>0.63666999999999996</v>
      </c>
      <c r="F56" s="229">
        <v>0.18065800000000001</v>
      </c>
      <c r="G56" s="229">
        <v>0.70510499999999998</v>
      </c>
      <c r="H56" s="230">
        <f>Proj_Inputs!$B$44+(Proj_Inputs!$C$44-Proj_Inputs!$B$44)*B56</f>
        <v>-9.2542800000000008E-2</v>
      </c>
      <c r="I56" s="230">
        <f>Proj_Inputs!$B$45+(Proj_Inputs!$C$45-Proj_Inputs!$B$45)*C56</f>
        <v>-3.027328E-2</v>
      </c>
      <c r="J56" s="230">
        <f>Proj_Inputs!$B$46+(Proj_Inputs!$C$46-Proj_Inputs!$B$46)*D56</f>
        <v>-7.731579999999999E-2</v>
      </c>
      <c r="K56" s="230">
        <f>Proj_Inputs!$B$47+(Proj_Inputs!$C$47-Proj_Inputs!$B$47)*E56</f>
        <v>0.10916749999999999</v>
      </c>
      <c r="L56" s="230">
        <f>Proj_Inputs!$B$46+(Proj_Inputs!$C$46-Proj_Inputs!$B$46)*F56</f>
        <v>-0.11386839999999998</v>
      </c>
      <c r="M56" s="230">
        <f>Proj_Inputs!$B$47+(Proj_Inputs!$C$47-Proj_Inputs!$B$47)*G56</f>
        <v>0.12627624999999998</v>
      </c>
      <c r="N56" s="231">
        <f>(1+H56)*(Proj_Inputs!$B$20+J56)/Proj_Inputs!$B$20*((Proj_Inputs!$B$21+I56)*(1-Proj_Inputs!$B$24)*NPV_Pirelli!$B$47+NPV_Pirelli!$B$49)+(1+K56)*NPV_Pirelli!$B$48</f>
        <v>-39.606364053493735</v>
      </c>
      <c r="O56" s="231">
        <f>(1+H56)*(Proj_Inputs!$C$20+L56)/Proj_Inputs!$C$20*((Proj_Inputs!$C$21+I56)*(1-Proj_Inputs!$C$24)*NPV_Hankook!$B$47+NPV_Hankook!$B$49)+(1+M56)*NPV_Hankook!$B$48</f>
        <v>-623.69682657097997</v>
      </c>
    </row>
    <row r="57" spans="1:15" x14ac:dyDescent="0.2">
      <c r="A57" s="228">
        <v>33</v>
      </c>
      <c r="B57" s="229">
        <v>5.4379999999999998E-2</v>
      </c>
      <c r="C57" s="229">
        <v>0.43562600000000001</v>
      </c>
      <c r="D57" s="229">
        <v>2.622E-2</v>
      </c>
      <c r="E57" s="229">
        <v>0.91158799999999995</v>
      </c>
      <c r="F57" s="229">
        <v>0.93977200000000005</v>
      </c>
      <c r="G57" s="229">
        <v>0.23091100000000001</v>
      </c>
      <c r="H57" s="230">
        <f>Proj_Inputs!$B$44+(Proj_Inputs!$C$44-Proj_Inputs!$B$44)*B57</f>
        <v>-8.9124000000000009E-2</v>
      </c>
      <c r="I57" s="230">
        <f>Proj_Inputs!$B$45+(Proj_Inputs!$C$45-Proj_Inputs!$B$45)*C57</f>
        <v>-5.1499200000000023E-3</v>
      </c>
      <c r="J57" s="230">
        <f>Proj_Inputs!$B$46+(Proj_Inputs!$C$46-Proj_Inputs!$B$46)*D57</f>
        <v>-0.144756</v>
      </c>
      <c r="K57" s="230">
        <f>Proj_Inputs!$B$47+(Proj_Inputs!$C$47-Proj_Inputs!$B$47)*E57</f>
        <v>0.17789699999999997</v>
      </c>
      <c r="L57" s="230">
        <f>Proj_Inputs!$B$46+(Proj_Inputs!$C$46-Proj_Inputs!$B$46)*F57</f>
        <v>3.7954400000000027E-2</v>
      </c>
      <c r="M57" s="230">
        <f>Proj_Inputs!$B$47+(Proj_Inputs!$C$47-Proj_Inputs!$B$47)*G57</f>
        <v>7.7277499999999985E-3</v>
      </c>
      <c r="N57" s="231">
        <f>(1+H57)*(Proj_Inputs!$B$20+J57)/Proj_Inputs!$B$20*((Proj_Inputs!$B$21+I57)*(1-Proj_Inputs!$B$24)*NPV_Pirelli!$B$47+NPV_Pirelli!$B$49)+(1+K57)*NPV_Pirelli!$B$48</f>
        <v>-40.53899962092828</v>
      </c>
      <c r="O57" s="231">
        <f>(1+H57)*(Proj_Inputs!$C$20+L57)/Proj_Inputs!$C$20*((Proj_Inputs!$C$21+I57)*(1-Proj_Inputs!$C$24)*NPV_Hankook!$B$47+NPV_Hankook!$B$49)+(1+M57)*NPV_Hankook!$B$48</f>
        <v>-186.6760317100252</v>
      </c>
    </row>
    <row r="58" spans="1:15" x14ac:dyDescent="0.2">
      <c r="A58" s="228">
        <v>34</v>
      </c>
      <c r="B58" s="229">
        <v>0.31759599999999999</v>
      </c>
      <c r="C58" s="229">
        <v>0.86950099999999997</v>
      </c>
      <c r="D58" s="229">
        <v>0.13747100000000001</v>
      </c>
      <c r="E58" s="229">
        <v>0.56963799999999998</v>
      </c>
      <c r="F58" s="229">
        <v>0.108055</v>
      </c>
      <c r="G58" s="229">
        <v>0.102696</v>
      </c>
      <c r="H58" s="230">
        <f>Proj_Inputs!$B$44+(Proj_Inputs!$C$44-Proj_Inputs!$B$44)*B58</f>
        <v>-3.6480800000000008E-2</v>
      </c>
      <c r="I58" s="230">
        <f>Proj_Inputs!$B$45+(Proj_Inputs!$C$45-Proj_Inputs!$B$45)*C58</f>
        <v>2.9560079999999996E-2</v>
      </c>
      <c r="J58" s="230">
        <f>Proj_Inputs!$B$46+(Proj_Inputs!$C$46-Proj_Inputs!$B$46)*D58</f>
        <v>-0.1225058</v>
      </c>
      <c r="K58" s="230">
        <f>Proj_Inputs!$B$47+(Proj_Inputs!$C$47-Proj_Inputs!$B$47)*E58</f>
        <v>9.2409499999999992E-2</v>
      </c>
      <c r="L58" s="230">
        <f>Proj_Inputs!$B$46+(Proj_Inputs!$C$46-Proj_Inputs!$B$46)*F58</f>
        <v>-0.128389</v>
      </c>
      <c r="M58" s="230">
        <f>Proj_Inputs!$B$47+(Proj_Inputs!$C$47-Proj_Inputs!$B$47)*G58</f>
        <v>-2.4326000000000004E-2</v>
      </c>
      <c r="N58" s="231">
        <f>(1+H58)*(Proj_Inputs!$B$20+J58)/Proj_Inputs!$B$20*((Proj_Inputs!$B$21+I58)*(1-Proj_Inputs!$B$24)*NPV_Pirelli!$B$47+NPV_Pirelli!$B$49)+(1+K58)*NPV_Pirelli!$B$48</f>
        <v>284.5820728653664</v>
      </c>
      <c r="O58" s="231">
        <f>(1+H58)*(Proj_Inputs!$C$20+L58)/Proj_Inputs!$C$20*((Proj_Inputs!$C$21+I58)*(1-Proj_Inputs!$C$24)*NPV_Hankook!$B$47+NPV_Hankook!$B$49)+(1+M58)*NPV_Hankook!$B$48</f>
        <v>-80.823690409330084</v>
      </c>
    </row>
    <row r="59" spans="1:15" x14ac:dyDescent="0.2">
      <c r="A59" s="228">
        <v>35</v>
      </c>
      <c r="B59" s="229">
        <v>0.59818300000000002</v>
      </c>
      <c r="C59" s="229">
        <v>0.698326</v>
      </c>
      <c r="D59" s="229">
        <v>0.43403700000000001</v>
      </c>
      <c r="E59" s="229">
        <v>0.15938099999999999</v>
      </c>
      <c r="F59" s="229">
        <v>0.230931</v>
      </c>
      <c r="G59" s="229">
        <v>5.5000000000000002E-5</v>
      </c>
      <c r="H59" s="230">
        <f>Proj_Inputs!$B$44+(Proj_Inputs!$C$44-Proj_Inputs!$B$44)*B59</f>
        <v>1.9636600000000004E-2</v>
      </c>
      <c r="I59" s="230">
        <f>Proj_Inputs!$B$45+(Proj_Inputs!$C$45-Proj_Inputs!$B$45)*C59</f>
        <v>1.5866079999999998E-2</v>
      </c>
      <c r="J59" s="230">
        <f>Proj_Inputs!$B$46+(Proj_Inputs!$C$46-Proj_Inputs!$B$46)*D59</f>
        <v>-6.3192599999999988E-2</v>
      </c>
      <c r="K59" s="230">
        <f>Proj_Inputs!$B$47+(Proj_Inputs!$C$47-Proj_Inputs!$B$47)*E59</f>
        <v>-1.0154750000000004E-2</v>
      </c>
      <c r="L59" s="230">
        <f>Proj_Inputs!$B$46+(Proj_Inputs!$C$46-Proj_Inputs!$B$46)*F59</f>
        <v>-0.10381379999999998</v>
      </c>
      <c r="M59" s="230">
        <f>Proj_Inputs!$B$47+(Proj_Inputs!$C$47-Proj_Inputs!$B$47)*G59</f>
        <v>-4.9986250000000003E-2</v>
      </c>
      <c r="N59" s="231">
        <f>(1+H59)*(Proj_Inputs!$B$20+J59)/Proj_Inputs!$B$20*((Proj_Inputs!$B$21+I59)*(1-Proj_Inputs!$B$24)*NPV_Pirelli!$B$47+NPV_Pirelli!$B$49)+(1+K59)*NPV_Pirelli!$B$48</f>
        <v>444.35894965118416</v>
      </c>
      <c r="O59" s="231">
        <f>(1+H59)*(Proj_Inputs!$C$20+L59)/Proj_Inputs!$C$20*((Proj_Inputs!$C$21+I59)*(1-Proj_Inputs!$C$24)*NPV_Hankook!$B$47+NPV_Hankook!$B$49)+(1+M59)*NPV_Hankook!$B$48</f>
        <v>-38.697043031183057</v>
      </c>
    </row>
    <row r="60" spans="1:15" x14ac:dyDescent="0.2">
      <c r="A60" s="228">
        <v>36</v>
      </c>
      <c r="B60" s="229">
        <v>0.12442300000000001</v>
      </c>
      <c r="C60" s="229">
        <v>0.37784299999999998</v>
      </c>
      <c r="D60" s="229">
        <v>0.57314900000000002</v>
      </c>
      <c r="E60" s="229">
        <v>0.44568000000000002</v>
      </c>
      <c r="F60" s="229">
        <v>0.78852</v>
      </c>
      <c r="G60" s="229">
        <v>0.82965299999999997</v>
      </c>
      <c r="H60" s="230">
        <f>Proj_Inputs!$B$44+(Proj_Inputs!$C$44-Proj_Inputs!$B$44)*B60</f>
        <v>-7.5115399999999999E-2</v>
      </c>
      <c r="I60" s="230">
        <f>Proj_Inputs!$B$45+(Proj_Inputs!$C$45-Proj_Inputs!$B$45)*C60</f>
        <v>-9.772560000000003E-3</v>
      </c>
      <c r="J60" s="230">
        <f>Proj_Inputs!$B$46+(Proj_Inputs!$C$46-Proj_Inputs!$B$46)*D60</f>
        <v>-3.5370199999999991E-2</v>
      </c>
      <c r="K60" s="230">
        <f>Proj_Inputs!$B$47+(Proj_Inputs!$C$47-Proj_Inputs!$B$47)*E60</f>
        <v>6.1420000000000002E-2</v>
      </c>
      <c r="L60" s="230">
        <f>Proj_Inputs!$B$46+(Proj_Inputs!$C$46-Proj_Inputs!$B$46)*F60</f>
        <v>7.7040000000000164E-3</v>
      </c>
      <c r="M60" s="230">
        <f>Proj_Inputs!$B$47+(Proj_Inputs!$C$47-Proj_Inputs!$B$47)*G60</f>
        <v>0.15741325</v>
      </c>
      <c r="N60" s="231">
        <f>(1+H60)*(Proj_Inputs!$B$20+J60)/Proj_Inputs!$B$20*((Proj_Inputs!$B$21+I60)*(1-Proj_Inputs!$B$24)*NPV_Pirelli!$B$47+NPV_Pirelli!$B$49)+(1+K60)*NPV_Pirelli!$B$48</f>
        <v>170.1336565709928</v>
      </c>
      <c r="O60" s="231">
        <f>(1+H60)*(Proj_Inputs!$C$20+L60)/Proj_Inputs!$C$20*((Proj_Inputs!$C$21+I60)*(1-Proj_Inputs!$C$24)*NPV_Hankook!$B$47+NPV_Hankook!$B$49)+(1+M60)*NPV_Hankook!$B$48</f>
        <v>-407.475646925771</v>
      </c>
    </row>
    <row r="61" spans="1:15" x14ac:dyDescent="0.2">
      <c r="A61" s="228">
        <v>37</v>
      </c>
      <c r="B61" s="229">
        <v>0.92494299999999996</v>
      </c>
      <c r="C61" s="229">
        <v>0.55201299999999998</v>
      </c>
      <c r="D61" s="229">
        <v>0.76516899999999999</v>
      </c>
      <c r="E61" s="229">
        <v>0.89891100000000002</v>
      </c>
      <c r="F61" s="229">
        <v>0.276416</v>
      </c>
      <c r="G61" s="229">
        <v>0.35685</v>
      </c>
      <c r="H61" s="230">
        <f>Proj_Inputs!$B$44+(Proj_Inputs!$C$44-Proj_Inputs!$B$44)*B61</f>
        <v>8.4988599999999997E-2</v>
      </c>
      <c r="I61" s="230">
        <f>Proj_Inputs!$B$45+(Proj_Inputs!$C$45-Proj_Inputs!$B$45)*C61</f>
        <v>4.1610399999999978E-3</v>
      </c>
      <c r="J61" s="230">
        <f>Proj_Inputs!$B$46+(Proj_Inputs!$C$46-Proj_Inputs!$B$46)*D61</f>
        <v>3.0338000000000032E-3</v>
      </c>
      <c r="K61" s="230">
        <f>Proj_Inputs!$B$47+(Proj_Inputs!$C$47-Proj_Inputs!$B$47)*E61</f>
        <v>0.17472775000000001</v>
      </c>
      <c r="L61" s="230">
        <f>Proj_Inputs!$B$46+(Proj_Inputs!$C$46-Proj_Inputs!$B$46)*F61</f>
        <v>-9.471679999999999E-2</v>
      </c>
      <c r="M61" s="230">
        <f>Proj_Inputs!$B$47+(Proj_Inputs!$C$47-Proj_Inputs!$B$47)*G61</f>
        <v>3.9212499999999997E-2</v>
      </c>
      <c r="N61" s="231">
        <f>(1+H61)*(Proj_Inputs!$B$20+J61)/Proj_Inputs!$B$20*((Proj_Inputs!$B$21+I61)*(1-Proj_Inputs!$B$24)*NPV_Pirelli!$B$47+NPV_Pirelli!$B$49)+(1+K61)*NPV_Pirelli!$B$48</f>
        <v>401.41144884406867</v>
      </c>
      <c r="O61" s="231">
        <f>(1+H61)*(Proj_Inputs!$C$20+L61)/Proj_Inputs!$C$20*((Proj_Inputs!$C$21+I61)*(1-Proj_Inputs!$C$24)*NPV_Hankook!$B$47+NPV_Hankook!$B$49)+(1+M61)*NPV_Hankook!$B$48</f>
        <v>-139.01805087437879</v>
      </c>
    </row>
    <row r="62" spans="1:15" x14ac:dyDescent="0.2">
      <c r="A62" s="228">
        <v>38</v>
      </c>
      <c r="B62" s="229">
        <v>0.63745700000000005</v>
      </c>
      <c r="C62" s="229">
        <v>0.40444799999999997</v>
      </c>
      <c r="D62" s="229">
        <v>0.76089200000000001</v>
      </c>
      <c r="E62" s="229">
        <v>0.31822699999999998</v>
      </c>
      <c r="F62" s="229">
        <v>0.52207599999999998</v>
      </c>
      <c r="G62" s="229">
        <v>0.238039</v>
      </c>
      <c r="H62" s="230">
        <f>Proj_Inputs!$B$44+(Proj_Inputs!$C$44-Proj_Inputs!$B$44)*B62</f>
        <v>2.7491399999999999E-2</v>
      </c>
      <c r="I62" s="230">
        <f>Proj_Inputs!$B$45+(Proj_Inputs!$C$45-Proj_Inputs!$B$45)*C62</f>
        <v>-7.644160000000004E-3</v>
      </c>
      <c r="J62" s="230">
        <f>Proj_Inputs!$B$46+(Proj_Inputs!$C$46-Proj_Inputs!$B$46)*D62</f>
        <v>2.1784000000000248E-3</v>
      </c>
      <c r="K62" s="230">
        <f>Proj_Inputs!$B$47+(Proj_Inputs!$C$47-Proj_Inputs!$B$47)*E62</f>
        <v>2.9556749999999993E-2</v>
      </c>
      <c r="L62" s="230">
        <f>Proj_Inputs!$B$46+(Proj_Inputs!$C$46-Proj_Inputs!$B$46)*F62</f>
        <v>-4.5584799999999995E-2</v>
      </c>
      <c r="M62" s="230">
        <f>Proj_Inputs!$B$47+(Proj_Inputs!$C$47-Proj_Inputs!$B$47)*G62</f>
        <v>9.5097499999999974E-3</v>
      </c>
      <c r="N62" s="231">
        <f>(1+H62)*(Proj_Inputs!$B$20+J62)/Proj_Inputs!$B$20*((Proj_Inputs!$B$21+I62)*(1-Proj_Inputs!$B$24)*NPV_Pirelli!$B$47+NPV_Pirelli!$B$49)+(1+K62)*NPV_Pirelli!$B$48</f>
        <v>369.09854644419522</v>
      </c>
      <c r="O62" s="231">
        <f>(1+H62)*(Proj_Inputs!$C$20+L62)/Proj_Inputs!$C$20*((Proj_Inputs!$C$21+I62)*(1-Proj_Inputs!$C$24)*NPV_Hankook!$B$47+NPV_Hankook!$B$49)+(1+M62)*NPV_Hankook!$B$48</f>
        <v>-178.26150362387239</v>
      </c>
    </row>
    <row r="63" spans="1:15" x14ac:dyDescent="0.2">
      <c r="A63" s="228">
        <v>39</v>
      </c>
      <c r="B63" s="229">
        <v>0.77957399999999999</v>
      </c>
      <c r="C63" s="229">
        <v>0.35805399999999998</v>
      </c>
      <c r="D63" s="229">
        <v>0.42117399999999999</v>
      </c>
      <c r="E63" s="229">
        <v>0.46740700000000002</v>
      </c>
      <c r="F63" s="229">
        <v>0.30860399999999999</v>
      </c>
      <c r="G63" s="229">
        <v>0.96003799999999995</v>
      </c>
      <c r="H63" s="230">
        <f>Proj_Inputs!$B$44+(Proj_Inputs!$C$44-Proj_Inputs!$B$44)*B63</f>
        <v>5.5914800000000014E-2</v>
      </c>
      <c r="I63" s="230">
        <f>Proj_Inputs!$B$45+(Proj_Inputs!$C$45-Proj_Inputs!$B$45)*C63</f>
        <v>-1.135568E-2</v>
      </c>
      <c r="J63" s="230">
        <f>Proj_Inputs!$B$46+(Proj_Inputs!$C$46-Proj_Inputs!$B$46)*D63</f>
        <v>-6.5765199999999996E-2</v>
      </c>
      <c r="K63" s="230">
        <f>Proj_Inputs!$B$47+(Proj_Inputs!$C$47-Proj_Inputs!$B$47)*E63</f>
        <v>6.6851750000000001E-2</v>
      </c>
      <c r="L63" s="230">
        <f>Proj_Inputs!$B$46+(Proj_Inputs!$C$46-Proj_Inputs!$B$46)*F63</f>
        <v>-8.8279200000000002E-2</v>
      </c>
      <c r="M63" s="230">
        <f>Proj_Inputs!$B$47+(Proj_Inputs!$C$47-Proj_Inputs!$B$47)*G63</f>
        <v>0.1900095</v>
      </c>
      <c r="N63" s="231">
        <f>(1+H63)*(Proj_Inputs!$B$20+J63)/Proj_Inputs!$B$20*((Proj_Inputs!$B$21+I63)*(1-Proj_Inputs!$B$24)*NPV_Pirelli!$B$47+NPV_Pirelli!$B$49)+(1+K63)*NPV_Pirelli!$B$48</f>
        <v>258.50489256756384</v>
      </c>
      <c r="O63" s="231">
        <f>(1+H63)*(Proj_Inputs!$C$20+L63)/Proj_Inputs!$C$20*((Proj_Inputs!$C$21+I63)*(1-Proj_Inputs!$C$24)*NPV_Hankook!$B$47+NPV_Hankook!$B$49)+(1+M63)*NPV_Hankook!$B$48</f>
        <v>-436.05799376247501</v>
      </c>
    </row>
    <row r="64" spans="1:15" x14ac:dyDescent="0.2">
      <c r="A64" s="228">
        <v>40</v>
      </c>
      <c r="B64" s="229">
        <v>0.68529899999999999</v>
      </c>
      <c r="C64" s="229">
        <v>0.193881</v>
      </c>
      <c r="D64" s="229">
        <v>0.64508699999999997</v>
      </c>
      <c r="E64" s="229">
        <v>5.3813E-2</v>
      </c>
      <c r="F64" s="229">
        <v>0.38058199999999998</v>
      </c>
      <c r="G64" s="229">
        <v>0.65114700000000003</v>
      </c>
      <c r="H64" s="230">
        <f>Proj_Inputs!$B$44+(Proj_Inputs!$C$44-Proj_Inputs!$B$44)*B64</f>
        <v>3.7059800000000004E-2</v>
      </c>
      <c r="I64" s="230">
        <f>Proj_Inputs!$B$45+(Proj_Inputs!$C$45-Proj_Inputs!$B$45)*C64</f>
        <v>-2.4489520000000001E-2</v>
      </c>
      <c r="J64" s="230">
        <f>Proj_Inputs!$B$46+(Proj_Inputs!$C$46-Proj_Inputs!$B$46)*D64</f>
        <v>-2.098259999999999E-2</v>
      </c>
      <c r="K64" s="230">
        <f>Proj_Inputs!$B$47+(Proj_Inputs!$C$47-Proj_Inputs!$B$47)*E64</f>
        <v>-3.6546750000000003E-2</v>
      </c>
      <c r="L64" s="230">
        <f>Proj_Inputs!$B$46+(Proj_Inputs!$C$46-Proj_Inputs!$B$46)*F64</f>
        <v>-7.3883599999999994E-2</v>
      </c>
      <c r="M64" s="230">
        <f>Proj_Inputs!$B$47+(Proj_Inputs!$C$47-Proj_Inputs!$B$47)*G64</f>
        <v>0.11278675000000001</v>
      </c>
      <c r="N64" s="231">
        <f>(1+H64)*(Proj_Inputs!$B$20+J64)/Proj_Inputs!$B$20*((Proj_Inputs!$B$21+I64)*(1-Proj_Inputs!$B$24)*NPV_Pirelli!$B$47+NPV_Pirelli!$B$49)+(1+K64)*NPV_Pirelli!$B$48</f>
        <v>296.06110448332902</v>
      </c>
      <c r="O64" s="231">
        <f>(1+H64)*(Proj_Inputs!$C$20+L64)/Proj_Inputs!$C$20*((Proj_Inputs!$C$21+I64)*(1-Proj_Inputs!$C$24)*NPV_Hankook!$B$47+NPV_Hankook!$B$49)+(1+M64)*NPV_Hankook!$B$48</f>
        <v>-432.32142157445321</v>
      </c>
    </row>
    <row r="65" spans="1:15" x14ac:dyDescent="0.2">
      <c r="A65" s="228">
        <v>41</v>
      </c>
      <c r="B65" s="229">
        <v>0.26285900000000001</v>
      </c>
      <c r="C65" s="229">
        <v>0.51801200000000003</v>
      </c>
      <c r="D65" s="229">
        <v>0.65239400000000003</v>
      </c>
      <c r="E65" s="229">
        <v>0.28486699999999998</v>
      </c>
      <c r="F65" s="229">
        <v>0.53784200000000004</v>
      </c>
      <c r="G65" s="229">
        <v>0.94187699999999996</v>
      </c>
      <c r="H65" s="230">
        <f>Proj_Inputs!$B$44+(Proj_Inputs!$C$44-Proj_Inputs!$B$44)*B65</f>
        <v>-4.7428200000000004E-2</v>
      </c>
      <c r="I65" s="230">
        <f>Proj_Inputs!$B$45+(Proj_Inputs!$C$45-Proj_Inputs!$B$45)*C65</f>
        <v>1.440960000000005E-3</v>
      </c>
      <c r="J65" s="230">
        <f>Proj_Inputs!$B$46+(Proj_Inputs!$C$46-Proj_Inputs!$B$46)*D65</f>
        <v>-1.9521199999999989E-2</v>
      </c>
      <c r="K65" s="230">
        <f>Proj_Inputs!$B$47+(Proj_Inputs!$C$47-Proj_Inputs!$B$47)*E65</f>
        <v>2.1216749999999993E-2</v>
      </c>
      <c r="L65" s="230">
        <f>Proj_Inputs!$B$46+(Proj_Inputs!$C$46-Proj_Inputs!$B$46)*F65</f>
        <v>-4.2431599999999986E-2</v>
      </c>
      <c r="M65" s="230">
        <f>Proj_Inputs!$B$47+(Proj_Inputs!$C$47-Proj_Inputs!$B$47)*G65</f>
        <v>0.18546924999999997</v>
      </c>
      <c r="N65" s="231">
        <f>(1+H65)*(Proj_Inputs!$B$20+J65)/Proj_Inputs!$B$20*((Proj_Inputs!$B$21+I65)*(1-Proj_Inputs!$B$24)*NPV_Pirelli!$B$47+NPV_Pirelli!$B$49)+(1+K65)*NPV_Pirelli!$B$48</f>
        <v>315.62532528297845</v>
      </c>
      <c r="O65" s="231">
        <f>(1+H65)*(Proj_Inputs!$C$20+L65)/Proj_Inputs!$C$20*((Proj_Inputs!$C$21+I65)*(1-Proj_Inputs!$C$24)*NPV_Hankook!$B$47+NPV_Hankook!$B$49)+(1+M65)*NPV_Hankook!$B$48</f>
        <v>-395.6669239885357</v>
      </c>
    </row>
    <row r="66" spans="1:15" x14ac:dyDescent="0.2">
      <c r="A66" s="228">
        <v>42</v>
      </c>
      <c r="B66" s="229">
        <v>0.76419300000000001</v>
      </c>
      <c r="C66" s="229">
        <v>0.50521899999999997</v>
      </c>
      <c r="D66" s="229">
        <v>0.46355400000000002</v>
      </c>
      <c r="E66" s="229">
        <v>0.28123700000000001</v>
      </c>
      <c r="F66" s="229">
        <v>0.247395</v>
      </c>
      <c r="G66" s="229">
        <v>0.51849400000000001</v>
      </c>
      <c r="H66" s="230">
        <f>Proj_Inputs!$B$44+(Proj_Inputs!$C$44-Proj_Inputs!$B$44)*B66</f>
        <v>5.2838600000000013E-2</v>
      </c>
      <c r="I66" s="230">
        <f>Proj_Inputs!$B$45+(Proj_Inputs!$C$45-Proj_Inputs!$B$45)*C66</f>
        <v>4.1751999999999762E-4</v>
      </c>
      <c r="J66" s="230">
        <f>Proj_Inputs!$B$46+(Proj_Inputs!$C$46-Proj_Inputs!$B$46)*D66</f>
        <v>-5.7289199999999985E-2</v>
      </c>
      <c r="K66" s="230">
        <f>Proj_Inputs!$B$47+(Proj_Inputs!$C$47-Proj_Inputs!$B$47)*E66</f>
        <v>2.0309250000000001E-2</v>
      </c>
      <c r="L66" s="230">
        <f>Proj_Inputs!$B$46+(Proj_Inputs!$C$46-Proj_Inputs!$B$46)*F66</f>
        <v>-0.100521</v>
      </c>
      <c r="M66" s="230">
        <f>Proj_Inputs!$B$47+(Proj_Inputs!$C$47-Proj_Inputs!$B$47)*G66</f>
        <v>7.96235E-2</v>
      </c>
      <c r="N66" s="231">
        <f>(1+H66)*(Proj_Inputs!$B$20+J66)/Proj_Inputs!$B$20*((Proj_Inputs!$B$21+I66)*(1-Proj_Inputs!$B$24)*NPV_Pirelli!$B$47+NPV_Pirelli!$B$49)+(1+K66)*NPV_Pirelli!$B$48</f>
        <v>374.93088355190071</v>
      </c>
      <c r="O66" s="231">
        <f>(1+H66)*(Proj_Inputs!$C$20+L66)/Proj_Inputs!$C$20*((Proj_Inputs!$C$21+I66)*(1-Proj_Inputs!$C$24)*NPV_Hankook!$B$47+NPV_Hankook!$B$49)+(1+M66)*NPV_Hankook!$B$48</f>
        <v>-249.20827741151322</v>
      </c>
    </row>
    <row r="67" spans="1:15" x14ac:dyDescent="0.2">
      <c r="A67" s="228">
        <v>43</v>
      </c>
      <c r="B67" s="229">
        <v>0.73889099999999996</v>
      </c>
      <c r="C67" s="229">
        <v>0.95416999999999996</v>
      </c>
      <c r="D67" s="229">
        <v>0.96299199999999996</v>
      </c>
      <c r="E67" s="229">
        <v>0.91112800000000005</v>
      </c>
      <c r="F67" s="229">
        <v>0.479771</v>
      </c>
      <c r="G67" s="229">
        <v>0.36478500000000003</v>
      </c>
      <c r="H67" s="230">
        <f>Proj_Inputs!$B$44+(Proj_Inputs!$C$44-Proj_Inputs!$B$44)*B67</f>
        <v>4.7778199999999993E-2</v>
      </c>
      <c r="I67" s="230">
        <f>Proj_Inputs!$B$45+(Proj_Inputs!$C$45-Proj_Inputs!$B$45)*C67</f>
        <v>3.6333600000000001E-2</v>
      </c>
      <c r="J67" s="230">
        <f>Proj_Inputs!$B$46+(Proj_Inputs!$C$46-Proj_Inputs!$B$46)*D67</f>
        <v>4.2598400000000008E-2</v>
      </c>
      <c r="K67" s="230">
        <f>Proj_Inputs!$B$47+(Proj_Inputs!$C$47-Proj_Inputs!$B$47)*E67</f>
        <v>0.177782</v>
      </c>
      <c r="L67" s="230">
        <f>Proj_Inputs!$B$46+(Proj_Inputs!$C$46-Proj_Inputs!$B$46)*F67</f>
        <v>-5.4045799999999991E-2</v>
      </c>
      <c r="M67" s="230">
        <f>Proj_Inputs!$B$47+(Proj_Inputs!$C$47-Proj_Inputs!$B$47)*G67</f>
        <v>4.1196250000000004E-2</v>
      </c>
      <c r="N67" s="231">
        <f>(1+H67)*(Proj_Inputs!$B$20+J67)/Proj_Inputs!$B$20*((Proj_Inputs!$B$21+I67)*(1-Proj_Inputs!$B$24)*NPV_Pirelli!$B$47+NPV_Pirelli!$B$49)+(1+K67)*NPV_Pirelli!$B$48</f>
        <v>628.04782268322015</v>
      </c>
      <c r="O67" s="231">
        <f>(1+H67)*(Proj_Inputs!$C$20+L67)/Proj_Inputs!$C$20*((Proj_Inputs!$C$21+I67)*(1-Proj_Inputs!$C$24)*NPV_Hankook!$B$47+NPV_Hankook!$B$49)+(1+M67)*NPV_Hankook!$B$48</f>
        <v>91.309421339945629</v>
      </c>
    </row>
    <row r="68" spans="1:15" x14ac:dyDescent="0.2">
      <c r="A68" s="228">
        <v>44</v>
      </c>
      <c r="B68" s="229">
        <v>3.1088999999999999E-2</v>
      </c>
      <c r="C68" s="229">
        <v>0.64470899999999998</v>
      </c>
      <c r="D68" s="229">
        <v>0.69531100000000001</v>
      </c>
      <c r="E68" s="229">
        <v>0.75574200000000002</v>
      </c>
      <c r="F68" s="229">
        <v>0.90328799999999998</v>
      </c>
      <c r="G68" s="229">
        <v>0.10136299999999999</v>
      </c>
      <c r="H68" s="230">
        <f>Proj_Inputs!$B$44+(Proj_Inputs!$C$44-Proj_Inputs!$B$44)*B68</f>
        <v>-9.378220000000001E-2</v>
      </c>
      <c r="I68" s="230">
        <f>Proj_Inputs!$B$45+(Proj_Inputs!$C$45-Proj_Inputs!$B$45)*C68</f>
        <v>1.1576719999999999E-2</v>
      </c>
      <c r="J68" s="230">
        <f>Proj_Inputs!$B$46+(Proj_Inputs!$C$46-Proj_Inputs!$B$46)*D68</f>
        <v>-1.0937799999999998E-2</v>
      </c>
      <c r="K68" s="230">
        <f>Proj_Inputs!$B$47+(Proj_Inputs!$C$47-Proj_Inputs!$B$47)*E68</f>
        <v>0.13893549999999999</v>
      </c>
      <c r="L68" s="230">
        <f>Proj_Inputs!$B$46+(Proj_Inputs!$C$46-Proj_Inputs!$B$46)*F68</f>
        <v>3.0657600000000007E-2</v>
      </c>
      <c r="M68" s="230">
        <f>Proj_Inputs!$B$47+(Proj_Inputs!$C$47-Proj_Inputs!$B$47)*G68</f>
        <v>-2.4659250000000004E-2</v>
      </c>
      <c r="N68" s="231">
        <f>(1+H68)*(Proj_Inputs!$B$20+J68)/Proj_Inputs!$B$20*((Proj_Inputs!$B$21+I68)*(1-Proj_Inputs!$B$24)*NPV_Pirelli!$B$47+NPV_Pirelli!$B$49)+(1+K68)*NPV_Pirelli!$B$48</f>
        <v>234.81078645245509</v>
      </c>
      <c r="O68" s="231">
        <f>(1+H68)*(Proj_Inputs!$C$20+L68)/Proj_Inputs!$C$20*((Proj_Inputs!$C$21+I68)*(1-Proj_Inputs!$C$24)*NPV_Hankook!$B$47+NPV_Hankook!$B$49)+(1+M68)*NPV_Hankook!$B$48</f>
        <v>-54.249977497591772</v>
      </c>
    </row>
    <row r="69" spans="1:15" x14ac:dyDescent="0.2">
      <c r="A69" s="228">
        <v>45</v>
      </c>
      <c r="B69" s="229">
        <v>0.61224999999999996</v>
      </c>
      <c r="C69" s="229">
        <v>0.190805</v>
      </c>
      <c r="D69" s="229">
        <v>0.76725100000000002</v>
      </c>
      <c r="E69" s="229">
        <v>0.95655500000000004</v>
      </c>
      <c r="F69" s="229">
        <v>0.75838300000000003</v>
      </c>
      <c r="G69" s="229">
        <v>0.25426399999999999</v>
      </c>
      <c r="H69" s="230">
        <f>Proj_Inputs!$B$44+(Proj_Inputs!$C$44-Proj_Inputs!$B$44)*B69</f>
        <v>2.2449999999999998E-2</v>
      </c>
      <c r="I69" s="230">
        <f>Proj_Inputs!$B$45+(Proj_Inputs!$C$45-Proj_Inputs!$B$45)*C69</f>
        <v>-2.47356E-2</v>
      </c>
      <c r="J69" s="230">
        <f>Proj_Inputs!$B$46+(Proj_Inputs!$C$46-Proj_Inputs!$B$46)*D69</f>
        <v>3.4502000000000144E-3</v>
      </c>
      <c r="K69" s="230">
        <f>Proj_Inputs!$B$47+(Proj_Inputs!$C$47-Proj_Inputs!$B$47)*E69</f>
        <v>0.18913875000000002</v>
      </c>
      <c r="L69" s="230">
        <f>Proj_Inputs!$B$46+(Proj_Inputs!$C$46-Proj_Inputs!$B$46)*F69</f>
        <v>1.6766000000000281E-3</v>
      </c>
      <c r="M69" s="230">
        <f>Proj_Inputs!$B$47+(Proj_Inputs!$C$47-Proj_Inputs!$B$47)*G69</f>
        <v>1.3565999999999995E-2</v>
      </c>
      <c r="N69" s="231">
        <f>(1+H69)*(Proj_Inputs!$B$20+J69)/Proj_Inputs!$B$20*((Proj_Inputs!$B$21+I69)*(1-Proj_Inputs!$B$24)*NPV_Pirelli!$B$47+NPV_Pirelli!$B$49)+(1+K69)*NPV_Pirelli!$B$48</f>
        <v>130.63642881366627</v>
      </c>
      <c r="O69" s="231">
        <f>(1+H69)*(Proj_Inputs!$C$20+L69)/Proj_Inputs!$C$20*((Proj_Inputs!$C$21+I69)*(1-Proj_Inputs!$C$24)*NPV_Hankook!$B$47+NPV_Hankook!$B$49)+(1+M69)*NPV_Hankook!$B$48</f>
        <v>-253.02219805344987</v>
      </c>
    </row>
    <row r="70" spans="1:15" x14ac:dyDescent="0.2">
      <c r="A70" s="228">
        <v>46</v>
      </c>
      <c r="B70" s="229">
        <v>0.80630400000000002</v>
      </c>
      <c r="C70" s="229">
        <v>0.77434599999999998</v>
      </c>
      <c r="D70" s="229">
        <v>0.67088000000000003</v>
      </c>
      <c r="E70" s="229">
        <v>0.52054299999999998</v>
      </c>
      <c r="F70" s="229">
        <v>0.941635</v>
      </c>
      <c r="G70" s="229">
        <v>0.80052100000000004</v>
      </c>
      <c r="H70" s="230">
        <f>Proj_Inputs!$B$44+(Proj_Inputs!$C$44-Proj_Inputs!$B$44)*B70</f>
        <v>6.1260800000000004E-2</v>
      </c>
      <c r="I70" s="230">
        <f>Proj_Inputs!$B$45+(Proj_Inputs!$C$45-Proj_Inputs!$B$45)*C70</f>
        <v>2.1947679999999997E-2</v>
      </c>
      <c r="J70" s="230">
        <f>Proj_Inputs!$B$46+(Proj_Inputs!$C$46-Proj_Inputs!$B$46)*D70</f>
        <v>-1.5823999999999977E-2</v>
      </c>
      <c r="K70" s="230">
        <f>Proj_Inputs!$B$47+(Proj_Inputs!$C$47-Proj_Inputs!$B$47)*E70</f>
        <v>8.0135749999999992E-2</v>
      </c>
      <c r="L70" s="230">
        <f>Proj_Inputs!$B$46+(Proj_Inputs!$C$46-Proj_Inputs!$B$46)*F70</f>
        <v>3.8327000000000028E-2</v>
      </c>
      <c r="M70" s="230">
        <f>Proj_Inputs!$B$47+(Proj_Inputs!$C$47-Proj_Inputs!$B$47)*G70</f>
        <v>0.15013025000000002</v>
      </c>
      <c r="N70" s="231">
        <f>(1+H70)*(Proj_Inputs!$B$20+J70)/Proj_Inputs!$B$20*((Proj_Inputs!$B$21+I70)*(1-Proj_Inputs!$B$24)*NPV_Pirelli!$B$47+NPV_Pirelli!$B$49)+(1+K70)*NPV_Pirelli!$B$48</f>
        <v>534.55464518354211</v>
      </c>
      <c r="O70" s="231">
        <f>(1+H70)*(Proj_Inputs!$C$20+L70)/Proj_Inputs!$C$20*((Proj_Inputs!$C$21+I70)*(1-Proj_Inputs!$C$24)*NPV_Hankook!$B$47+NPV_Hankook!$B$49)+(1+M70)*NPV_Hankook!$B$48</f>
        <v>16.321253221381994</v>
      </c>
    </row>
    <row r="71" spans="1:15" x14ac:dyDescent="0.2">
      <c r="A71" s="228">
        <v>47</v>
      </c>
      <c r="B71" s="229">
        <v>0.16775899999999999</v>
      </c>
      <c r="C71" s="229">
        <v>0.71393099999999998</v>
      </c>
      <c r="D71" s="229">
        <v>0.826152</v>
      </c>
      <c r="E71" s="229">
        <v>6.9330000000000003E-2</v>
      </c>
      <c r="F71" s="229">
        <v>0.124197</v>
      </c>
      <c r="G71" s="229">
        <v>0.59312399999999998</v>
      </c>
      <c r="H71" s="230">
        <f>Proj_Inputs!$B$44+(Proj_Inputs!$C$44-Proj_Inputs!$B$44)*B71</f>
        <v>-6.6448200000000013E-2</v>
      </c>
      <c r="I71" s="230">
        <f>Proj_Inputs!$B$45+(Proj_Inputs!$C$45-Proj_Inputs!$B$45)*C71</f>
        <v>1.7114480000000001E-2</v>
      </c>
      <c r="J71" s="230">
        <f>Proj_Inputs!$B$46+(Proj_Inputs!$C$46-Proj_Inputs!$B$46)*D71</f>
        <v>1.5230400000000005E-2</v>
      </c>
      <c r="K71" s="230">
        <f>Proj_Inputs!$B$47+(Proj_Inputs!$C$47-Proj_Inputs!$B$47)*E71</f>
        <v>-3.2667500000000002E-2</v>
      </c>
      <c r="L71" s="230">
        <f>Proj_Inputs!$B$46+(Proj_Inputs!$C$46-Proj_Inputs!$B$46)*F71</f>
        <v>-0.12516059999999998</v>
      </c>
      <c r="M71" s="230">
        <f>Proj_Inputs!$B$47+(Proj_Inputs!$C$47-Proj_Inputs!$B$47)*G71</f>
        <v>9.8280999999999993E-2</v>
      </c>
      <c r="N71" s="231">
        <f>(1+H71)*(Proj_Inputs!$B$20+J71)/Proj_Inputs!$B$20*((Proj_Inputs!$B$21+I71)*(1-Proj_Inputs!$B$24)*NPV_Pirelli!$B$47+NPV_Pirelli!$B$49)+(1+K71)*NPV_Pirelli!$B$48</f>
        <v>471.12582709547485</v>
      </c>
      <c r="O71" s="231">
        <f>(1+H71)*(Proj_Inputs!$C$20+L71)/Proj_Inputs!$C$20*((Proj_Inputs!$C$21+I71)*(1-Proj_Inputs!$C$24)*NPV_Hankook!$B$47+NPV_Hankook!$B$49)+(1+M71)*NPV_Hankook!$B$48</f>
        <v>-320.518320785387</v>
      </c>
    </row>
    <row r="72" spans="1:15" x14ac:dyDescent="0.2">
      <c r="A72" s="228">
        <v>48</v>
      </c>
      <c r="B72" s="229">
        <v>0.130328</v>
      </c>
      <c r="C72" s="229">
        <v>0.38531799999999999</v>
      </c>
      <c r="D72" s="229">
        <v>0.97926999999999997</v>
      </c>
      <c r="E72" s="229">
        <v>0.830677</v>
      </c>
      <c r="F72" s="229">
        <v>9.7882999999999998E-2</v>
      </c>
      <c r="G72" s="229">
        <v>0.75512900000000005</v>
      </c>
      <c r="H72" s="230">
        <f>Proj_Inputs!$B$44+(Proj_Inputs!$C$44-Proj_Inputs!$B$44)*B72</f>
        <v>-7.3934400000000011E-2</v>
      </c>
      <c r="I72" s="230">
        <f>Proj_Inputs!$B$45+(Proj_Inputs!$C$45-Proj_Inputs!$B$45)*C72</f>
        <v>-9.1745600000000017E-3</v>
      </c>
      <c r="J72" s="230">
        <f>Proj_Inputs!$B$46+(Proj_Inputs!$C$46-Proj_Inputs!$B$46)*D72</f>
        <v>4.5854000000000006E-2</v>
      </c>
      <c r="K72" s="230">
        <f>Proj_Inputs!$B$47+(Proj_Inputs!$C$47-Proj_Inputs!$B$47)*E72</f>
        <v>0.15766924999999998</v>
      </c>
      <c r="L72" s="230">
        <f>Proj_Inputs!$B$46+(Proj_Inputs!$C$46-Proj_Inputs!$B$46)*F72</f>
        <v>-0.13042339999999999</v>
      </c>
      <c r="M72" s="230">
        <f>Proj_Inputs!$B$47+(Proj_Inputs!$C$47-Proj_Inputs!$B$47)*G72</f>
        <v>0.13878225</v>
      </c>
      <c r="N72" s="231">
        <f>(1+H72)*(Proj_Inputs!$B$20+J72)/Proj_Inputs!$B$20*((Proj_Inputs!$B$21+I72)*(1-Proj_Inputs!$B$24)*NPV_Pirelli!$B$47+NPV_Pirelli!$B$49)+(1+K72)*NPV_Pirelli!$B$48</f>
        <v>193.85203263443123</v>
      </c>
      <c r="O72" s="231">
        <f>(1+H72)*(Proj_Inputs!$C$20+L72)/Proj_Inputs!$C$20*((Proj_Inputs!$C$21+I72)*(1-Proj_Inputs!$C$24)*NPV_Hankook!$B$47+NPV_Hankook!$B$49)+(1+M72)*NPV_Hankook!$B$48</f>
        <v>-524.42273784753434</v>
      </c>
    </row>
    <row r="73" spans="1:15" x14ac:dyDescent="0.2">
      <c r="A73" s="228">
        <v>49</v>
      </c>
      <c r="B73" s="229">
        <v>0.234429</v>
      </c>
      <c r="C73" s="229">
        <v>0.29545900000000003</v>
      </c>
      <c r="D73" s="229">
        <v>0.89724899999999996</v>
      </c>
      <c r="E73" s="229">
        <v>0.81707399999999997</v>
      </c>
      <c r="F73" s="229">
        <v>0.93000400000000005</v>
      </c>
      <c r="G73" s="229">
        <v>0.385322</v>
      </c>
      <c r="H73" s="230">
        <f>Proj_Inputs!$B$44+(Proj_Inputs!$C$44-Proj_Inputs!$B$44)*B73</f>
        <v>-5.31142E-2</v>
      </c>
      <c r="I73" s="230">
        <f>Proj_Inputs!$B$45+(Proj_Inputs!$C$45-Proj_Inputs!$B$45)*C73</f>
        <v>-1.6363279999999997E-2</v>
      </c>
      <c r="J73" s="230">
        <f>Proj_Inputs!$B$46+(Proj_Inputs!$C$46-Proj_Inputs!$B$46)*D73</f>
        <v>2.9449799999999998E-2</v>
      </c>
      <c r="K73" s="230">
        <f>Proj_Inputs!$B$47+(Proj_Inputs!$C$47-Proj_Inputs!$B$47)*E73</f>
        <v>0.15426849999999998</v>
      </c>
      <c r="L73" s="230">
        <f>Proj_Inputs!$B$46+(Proj_Inputs!$C$46-Proj_Inputs!$B$46)*F73</f>
        <v>3.6000800000000027E-2</v>
      </c>
      <c r="M73" s="230">
        <f>Proj_Inputs!$B$47+(Proj_Inputs!$C$47-Proj_Inputs!$B$47)*G73</f>
        <v>4.6330499999999997E-2</v>
      </c>
      <c r="N73" s="231">
        <f>(1+H73)*(Proj_Inputs!$B$20+J73)/Proj_Inputs!$B$20*((Proj_Inputs!$B$21+I73)*(1-Proj_Inputs!$B$24)*NPV_Pirelli!$B$47+NPV_Pirelli!$B$49)+(1+K73)*NPV_Pirelli!$B$48</f>
        <v>158.30146295810607</v>
      </c>
      <c r="O73" s="231">
        <f>(1+H73)*(Proj_Inputs!$C$20+L73)/Proj_Inputs!$C$20*((Proj_Inputs!$C$21+I73)*(1-Proj_Inputs!$C$24)*NPV_Hankook!$B$47+NPV_Hankook!$B$49)+(1+M73)*NPV_Hankook!$B$48</f>
        <v>-270.42836455593351</v>
      </c>
    </row>
    <row r="74" spans="1:15" x14ac:dyDescent="0.2">
      <c r="A74" s="228">
        <v>50</v>
      </c>
      <c r="B74" s="229">
        <v>0.107748</v>
      </c>
      <c r="C74" s="229">
        <v>0.13081300000000001</v>
      </c>
      <c r="D74" s="229">
        <v>0.41236699999999998</v>
      </c>
      <c r="E74" s="229">
        <v>0.62972099999999998</v>
      </c>
      <c r="F74" s="229">
        <v>0.33357500000000001</v>
      </c>
      <c r="G74" s="229">
        <v>0.82351799999999997</v>
      </c>
      <c r="H74" s="230">
        <f>Proj_Inputs!$B$44+(Proj_Inputs!$C$44-Proj_Inputs!$B$44)*B74</f>
        <v>-7.8450400000000003E-2</v>
      </c>
      <c r="I74" s="230">
        <f>Proj_Inputs!$B$45+(Proj_Inputs!$C$45-Proj_Inputs!$B$45)*C74</f>
        <v>-2.9534959999999999E-2</v>
      </c>
      <c r="J74" s="230">
        <f>Proj_Inputs!$B$46+(Proj_Inputs!$C$46-Proj_Inputs!$B$46)*D74</f>
        <v>-6.7526599999999992E-2</v>
      </c>
      <c r="K74" s="230">
        <f>Proj_Inputs!$B$47+(Proj_Inputs!$C$47-Proj_Inputs!$B$47)*E74</f>
        <v>0.10743024999999999</v>
      </c>
      <c r="L74" s="230">
        <f>Proj_Inputs!$B$46+(Proj_Inputs!$C$46-Proj_Inputs!$B$46)*F74</f>
        <v>-8.3284999999999984E-2</v>
      </c>
      <c r="M74" s="230">
        <f>Proj_Inputs!$B$47+(Proj_Inputs!$C$47-Proj_Inputs!$B$47)*G74</f>
        <v>0.1558795</v>
      </c>
      <c r="N74" s="231">
        <f>(1+H74)*(Proj_Inputs!$B$20+J74)/Proj_Inputs!$B$20*((Proj_Inputs!$B$21+I74)*(1-Proj_Inputs!$B$24)*NPV_Pirelli!$B$47+NPV_Pirelli!$B$49)+(1+K74)*NPV_Pirelli!$B$48</f>
        <v>-11.291722639054001</v>
      </c>
      <c r="O74" s="231">
        <f>(1+H74)*(Proj_Inputs!$C$20+L74)/Proj_Inputs!$C$20*((Proj_Inputs!$C$21+I74)*(1-Proj_Inputs!$C$24)*NPV_Hankook!$B$47+NPV_Hankook!$B$49)+(1+M74)*NPV_Hankook!$B$48</f>
        <v>-616.119491310576</v>
      </c>
    </row>
    <row r="75" spans="1:15" x14ac:dyDescent="0.2">
      <c r="A75" s="228">
        <v>51</v>
      </c>
      <c r="B75" s="229">
        <v>0.23583799999999999</v>
      </c>
      <c r="C75" s="229">
        <v>0.60256299999999996</v>
      </c>
      <c r="D75" s="229">
        <v>0.38198500000000002</v>
      </c>
      <c r="E75" s="229">
        <v>0.56934200000000001</v>
      </c>
      <c r="F75" s="229">
        <v>0.17099400000000001</v>
      </c>
      <c r="G75" s="229">
        <v>0.798933</v>
      </c>
      <c r="H75" s="230">
        <f>Proj_Inputs!$B$44+(Proj_Inputs!$C$44-Proj_Inputs!$B$44)*B75</f>
        <v>-5.2832400000000002E-2</v>
      </c>
      <c r="I75" s="230">
        <f>Proj_Inputs!$B$45+(Proj_Inputs!$C$45-Proj_Inputs!$B$45)*C75</f>
        <v>8.2050399999999968E-3</v>
      </c>
      <c r="J75" s="230">
        <f>Proj_Inputs!$B$46+(Proj_Inputs!$C$46-Proj_Inputs!$B$46)*D75</f>
        <v>-7.3602999999999988E-2</v>
      </c>
      <c r="K75" s="230">
        <f>Proj_Inputs!$B$47+(Proj_Inputs!$C$47-Proj_Inputs!$B$47)*E75</f>
        <v>9.2335500000000001E-2</v>
      </c>
      <c r="L75" s="230">
        <f>Proj_Inputs!$B$46+(Proj_Inputs!$C$46-Proj_Inputs!$B$46)*F75</f>
        <v>-0.11580119999999999</v>
      </c>
      <c r="M75" s="230">
        <f>Proj_Inputs!$B$47+(Proj_Inputs!$C$47-Proj_Inputs!$B$47)*G75</f>
        <v>0.14973324999999998</v>
      </c>
      <c r="N75" s="231">
        <f>(1+H75)*(Proj_Inputs!$B$20+J75)/Proj_Inputs!$B$20*((Proj_Inputs!$B$21+I75)*(1-Proj_Inputs!$B$24)*NPV_Pirelli!$B$47+NPV_Pirelli!$B$49)+(1+K75)*NPV_Pirelli!$B$48</f>
        <v>221.14633806579695</v>
      </c>
      <c r="O75" s="231">
        <f>(1+H75)*(Proj_Inputs!$C$20+L75)/Proj_Inputs!$C$20*((Proj_Inputs!$C$21+I75)*(1-Proj_Inputs!$C$24)*NPV_Hankook!$B$47+NPV_Hankook!$B$49)+(1+M75)*NPV_Hankook!$B$48</f>
        <v>-405.07472072595817</v>
      </c>
    </row>
    <row r="76" spans="1:15" x14ac:dyDescent="0.2">
      <c r="A76" s="228">
        <v>52</v>
      </c>
      <c r="B76" s="229">
        <v>0.25742999999999999</v>
      </c>
      <c r="C76" s="229">
        <v>0.87964600000000004</v>
      </c>
      <c r="D76" s="229">
        <v>0.54876000000000003</v>
      </c>
      <c r="E76" s="229">
        <v>0.70271499999999998</v>
      </c>
      <c r="F76" s="229">
        <v>0.74069600000000002</v>
      </c>
      <c r="G76" s="229">
        <v>0.19114100000000001</v>
      </c>
      <c r="H76" s="230">
        <f>Proj_Inputs!$B$44+(Proj_Inputs!$C$44-Proj_Inputs!$B$44)*B76</f>
        <v>-4.8514000000000002E-2</v>
      </c>
      <c r="I76" s="230">
        <f>Proj_Inputs!$B$45+(Proj_Inputs!$C$45-Proj_Inputs!$B$45)*C76</f>
        <v>3.0371680000000005E-2</v>
      </c>
      <c r="J76" s="230">
        <f>Proj_Inputs!$B$46+(Proj_Inputs!$C$46-Proj_Inputs!$B$46)*D76</f>
        <v>-4.0247999999999978E-2</v>
      </c>
      <c r="K76" s="230">
        <f>Proj_Inputs!$B$47+(Proj_Inputs!$C$47-Proj_Inputs!$B$47)*E76</f>
        <v>0.12567875000000001</v>
      </c>
      <c r="L76" s="230">
        <f>Proj_Inputs!$B$46+(Proj_Inputs!$C$46-Proj_Inputs!$B$46)*F76</f>
        <v>-1.8607999999999958E-3</v>
      </c>
      <c r="M76" s="230">
        <f>Proj_Inputs!$B$47+(Proj_Inputs!$C$47-Proj_Inputs!$B$47)*G76</f>
        <v>-2.2147500000000014E-3</v>
      </c>
      <c r="N76" s="231">
        <f>(1+H76)*(Proj_Inputs!$B$20+J76)/Proj_Inputs!$B$20*((Proj_Inputs!$B$21+I76)*(1-Proj_Inputs!$B$24)*NPV_Pirelli!$B$47+NPV_Pirelli!$B$49)+(1+K76)*NPV_Pirelli!$B$48</f>
        <v>368.31654895800727</v>
      </c>
      <c r="O76" s="231">
        <f>(1+H76)*(Proj_Inputs!$C$20+L76)/Proj_Inputs!$C$20*((Proj_Inputs!$C$21+I76)*(1-Proj_Inputs!$C$24)*NPV_Hankook!$B$47+NPV_Hankook!$B$49)+(1+M76)*NPV_Hankook!$B$48</f>
        <v>56.275470463315742</v>
      </c>
    </row>
    <row r="77" spans="1:15" x14ac:dyDescent="0.2">
      <c r="A77" s="228">
        <v>53</v>
      </c>
      <c r="B77" s="229">
        <v>0.81310899999999997</v>
      </c>
      <c r="C77" s="229">
        <v>0.67506699999999997</v>
      </c>
      <c r="D77" s="229">
        <v>0.232296</v>
      </c>
      <c r="E77" s="229">
        <v>2.4931999999999999E-2</v>
      </c>
      <c r="F77" s="229">
        <v>0.61664399999999997</v>
      </c>
      <c r="G77" s="229">
        <v>0.109555</v>
      </c>
      <c r="H77" s="230">
        <f>Proj_Inputs!$B$44+(Proj_Inputs!$C$44-Proj_Inputs!$B$44)*B77</f>
        <v>6.2621800000000005E-2</v>
      </c>
      <c r="I77" s="230">
        <f>Proj_Inputs!$B$45+(Proj_Inputs!$C$45-Proj_Inputs!$B$45)*C77</f>
        <v>1.4005360000000001E-2</v>
      </c>
      <c r="J77" s="230">
        <f>Proj_Inputs!$B$46+(Proj_Inputs!$C$46-Proj_Inputs!$B$46)*D77</f>
        <v>-0.10354079999999999</v>
      </c>
      <c r="K77" s="230">
        <f>Proj_Inputs!$B$47+(Proj_Inputs!$C$47-Proj_Inputs!$B$47)*E77</f>
        <v>-4.3767E-2</v>
      </c>
      <c r="L77" s="230">
        <f>Proj_Inputs!$B$46+(Proj_Inputs!$C$46-Proj_Inputs!$B$46)*F77</f>
        <v>-2.6671199999999992E-2</v>
      </c>
      <c r="M77" s="230">
        <f>Proj_Inputs!$B$47+(Proj_Inputs!$C$47-Proj_Inputs!$B$47)*G77</f>
        <v>-2.2611250000000003E-2</v>
      </c>
      <c r="N77" s="231">
        <f>(1+H77)*(Proj_Inputs!$B$20+J77)/Proj_Inputs!$B$20*((Proj_Inputs!$B$21+I77)*(1-Proj_Inputs!$B$24)*NPV_Pirelli!$B$47+NPV_Pirelli!$B$49)+(1+K77)*NPV_Pirelli!$B$48</f>
        <v>450.12226141972849</v>
      </c>
      <c r="O77" s="231">
        <f>(1+H77)*(Proj_Inputs!$C$20+L77)/Proj_Inputs!$C$20*((Proj_Inputs!$C$21+I77)*(1-Proj_Inputs!$C$24)*NPV_Hankook!$B$47+NPV_Hankook!$B$49)+(1+M77)*NPV_Hankook!$B$48</f>
        <v>68.953427105825995</v>
      </c>
    </row>
    <row r="78" spans="1:15" x14ac:dyDescent="0.2">
      <c r="A78" s="228">
        <v>54</v>
      </c>
      <c r="B78" s="229">
        <v>0.42371799999999998</v>
      </c>
      <c r="C78" s="229">
        <v>0.42039599999999999</v>
      </c>
      <c r="D78" s="229">
        <v>0.47528300000000001</v>
      </c>
      <c r="E78" s="229">
        <v>0.27693499999999999</v>
      </c>
      <c r="F78" s="229">
        <v>0.35951100000000002</v>
      </c>
      <c r="G78" s="229">
        <v>0.34751199999999999</v>
      </c>
      <c r="H78" s="230">
        <f>Proj_Inputs!$B$44+(Proj_Inputs!$C$44-Proj_Inputs!$B$44)*B78</f>
        <v>-1.5256400000000003E-2</v>
      </c>
      <c r="I78" s="230">
        <f>Proj_Inputs!$B$45+(Proj_Inputs!$C$45-Proj_Inputs!$B$45)*C78</f>
        <v>-6.3683200000000037E-3</v>
      </c>
      <c r="J78" s="230">
        <f>Proj_Inputs!$B$46+(Proj_Inputs!$C$46-Proj_Inputs!$B$46)*D78</f>
        <v>-5.4943399999999989E-2</v>
      </c>
      <c r="K78" s="230">
        <f>Proj_Inputs!$B$47+(Proj_Inputs!$C$47-Proj_Inputs!$B$47)*E78</f>
        <v>1.9233749999999994E-2</v>
      </c>
      <c r="L78" s="230">
        <f>Proj_Inputs!$B$46+(Proj_Inputs!$C$46-Proj_Inputs!$B$46)*F78</f>
        <v>-7.8097799999999981E-2</v>
      </c>
      <c r="M78" s="230">
        <f>Proj_Inputs!$B$47+(Proj_Inputs!$C$47-Proj_Inputs!$B$47)*G78</f>
        <v>3.6877999999999994E-2</v>
      </c>
      <c r="N78" s="231">
        <f>(1+H78)*(Proj_Inputs!$B$20+J78)/Proj_Inputs!$B$20*((Proj_Inputs!$B$21+I78)*(1-Proj_Inputs!$B$24)*NPV_Pirelli!$B$47+NPV_Pirelli!$B$49)+(1+K78)*NPV_Pirelli!$B$48</f>
        <v>263.76117467243273</v>
      </c>
      <c r="O78" s="231">
        <f>(1+H78)*(Proj_Inputs!$C$20+L78)/Proj_Inputs!$C$20*((Proj_Inputs!$C$21+I78)*(1-Proj_Inputs!$C$24)*NPV_Hankook!$B$47+NPV_Hankook!$B$49)+(1+M78)*NPV_Hankook!$B$48</f>
        <v>-280.00616154072679</v>
      </c>
    </row>
    <row r="79" spans="1:15" x14ac:dyDescent="0.2">
      <c r="A79" s="228">
        <v>55</v>
      </c>
      <c r="B79" s="229">
        <v>0.48224899999999998</v>
      </c>
      <c r="C79" s="229">
        <v>0.67722300000000002</v>
      </c>
      <c r="D79" s="229">
        <v>0.44790600000000003</v>
      </c>
      <c r="E79" s="229">
        <v>0.552458</v>
      </c>
      <c r="F79" s="229">
        <v>3.1433999999999997E-2</v>
      </c>
      <c r="G79" s="229">
        <v>0.91234599999999999</v>
      </c>
      <c r="H79" s="230">
        <f>Proj_Inputs!$B$44+(Proj_Inputs!$C$44-Proj_Inputs!$B$44)*B79</f>
        <v>-3.5502000000000034E-3</v>
      </c>
      <c r="I79" s="230">
        <f>Proj_Inputs!$B$45+(Proj_Inputs!$C$45-Proj_Inputs!$B$45)*C79</f>
        <v>1.4177840000000004E-2</v>
      </c>
      <c r="J79" s="230">
        <f>Proj_Inputs!$B$46+(Proj_Inputs!$C$46-Proj_Inputs!$B$46)*D79</f>
        <v>-6.0418799999999981E-2</v>
      </c>
      <c r="K79" s="230">
        <f>Proj_Inputs!$B$47+(Proj_Inputs!$C$47-Proj_Inputs!$B$47)*E79</f>
        <v>8.8114499999999998E-2</v>
      </c>
      <c r="L79" s="230">
        <f>Proj_Inputs!$B$46+(Proj_Inputs!$C$46-Proj_Inputs!$B$46)*F79</f>
        <v>-0.14371319999999999</v>
      </c>
      <c r="M79" s="230">
        <f>Proj_Inputs!$B$47+(Proj_Inputs!$C$47-Proj_Inputs!$B$47)*G79</f>
        <v>0.17808649999999998</v>
      </c>
      <c r="N79" s="231">
        <f>(1+H79)*(Proj_Inputs!$B$20+J79)/Proj_Inputs!$B$20*((Proj_Inputs!$B$21+I79)*(1-Proj_Inputs!$B$24)*NPV_Pirelli!$B$47+NPV_Pirelli!$B$49)+(1+K79)*NPV_Pirelli!$B$48</f>
        <v>333.29765364763387</v>
      </c>
      <c r="O79" s="231">
        <f>(1+H79)*(Proj_Inputs!$C$20+L79)/Proj_Inputs!$C$20*((Proj_Inputs!$C$21+I79)*(1-Proj_Inputs!$C$24)*NPV_Hankook!$B$47+NPV_Hankook!$B$49)+(1+M79)*NPV_Hankook!$B$48</f>
        <v>-390.18349411994393</v>
      </c>
    </row>
    <row r="80" spans="1:15" x14ac:dyDescent="0.2">
      <c r="A80" s="228">
        <v>56</v>
      </c>
      <c r="B80" s="229">
        <v>0.18723600000000001</v>
      </c>
      <c r="C80" s="229">
        <v>0.65104099999999998</v>
      </c>
      <c r="D80" s="229">
        <v>0.49558400000000002</v>
      </c>
      <c r="E80" s="229">
        <v>0.36121900000000001</v>
      </c>
      <c r="F80" s="229">
        <v>0.48624699999999998</v>
      </c>
      <c r="G80" s="229">
        <v>0.93945999999999996</v>
      </c>
      <c r="H80" s="230">
        <f>Proj_Inputs!$B$44+(Proj_Inputs!$C$44-Proj_Inputs!$B$44)*B80</f>
        <v>-6.2552799999999992E-2</v>
      </c>
      <c r="I80" s="230">
        <f>Proj_Inputs!$B$45+(Proj_Inputs!$C$45-Proj_Inputs!$B$45)*C80</f>
        <v>1.2083280000000002E-2</v>
      </c>
      <c r="J80" s="230">
        <f>Proj_Inputs!$B$46+(Proj_Inputs!$C$46-Proj_Inputs!$B$46)*D80</f>
        <v>-5.088319999999999E-2</v>
      </c>
      <c r="K80" s="230">
        <f>Proj_Inputs!$B$47+(Proj_Inputs!$C$47-Proj_Inputs!$B$47)*E80</f>
        <v>4.030475E-2</v>
      </c>
      <c r="L80" s="230">
        <f>Proj_Inputs!$B$46+(Proj_Inputs!$C$46-Proj_Inputs!$B$46)*F80</f>
        <v>-5.2750599999999995E-2</v>
      </c>
      <c r="M80" s="230">
        <f>Proj_Inputs!$B$47+(Proj_Inputs!$C$47-Proj_Inputs!$B$47)*G80</f>
        <v>0.184865</v>
      </c>
      <c r="N80" s="231">
        <f>(1+H80)*(Proj_Inputs!$B$20+J80)/Proj_Inputs!$B$20*((Proj_Inputs!$B$21+I80)*(1-Proj_Inputs!$B$24)*NPV_Pirelli!$B$47+NPV_Pirelli!$B$49)+(1+K80)*NPV_Pirelli!$B$48</f>
        <v>301.72637298286611</v>
      </c>
      <c r="O80" s="231">
        <f>(1+H80)*(Proj_Inputs!$C$20+L80)/Proj_Inputs!$C$20*((Proj_Inputs!$C$21+I80)*(1-Proj_Inputs!$C$24)*NPV_Hankook!$B$47+NPV_Hankook!$B$49)+(1+M80)*NPV_Hankook!$B$48</f>
        <v>-357.8591379093051</v>
      </c>
    </row>
    <row r="81" spans="1:15" x14ac:dyDescent="0.2">
      <c r="A81" s="228">
        <v>57</v>
      </c>
      <c r="B81" s="229">
        <v>6.4574999999999994E-2</v>
      </c>
      <c r="C81" s="229">
        <v>0.73685100000000003</v>
      </c>
      <c r="D81" s="229">
        <v>0.97583399999999998</v>
      </c>
      <c r="E81" s="229">
        <v>0.26809500000000003</v>
      </c>
      <c r="F81" s="229">
        <v>0.18216599999999999</v>
      </c>
      <c r="G81" s="229">
        <v>0.46659299999999998</v>
      </c>
      <c r="H81" s="230">
        <f>Proj_Inputs!$B$44+(Proj_Inputs!$C$44-Proj_Inputs!$B$44)*B81</f>
        <v>-8.708500000000001E-2</v>
      </c>
      <c r="I81" s="230">
        <f>Proj_Inputs!$B$45+(Proj_Inputs!$C$45-Proj_Inputs!$B$45)*C81</f>
        <v>1.8948080000000006E-2</v>
      </c>
      <c r="J81" s="230">
        <f>Proj_Inputs!$B$46+(Proj_Inputs!$C$46-Proj_Inputs!$B$46)*D81</f>
        <v>4.5166800000000007E-2</v>
      </c>
      <c r="K81" s="230">
        <f>Proj_Inputs!$B$47+(Proj_Inputs!$C$47-Proj_Inputs!$B$47)*E81</f>
        <v>1.7023750000000004E-2</v>
      </c>
      <c r="L81" s="230">
        <f>Proj_Inputs!$B$46+(Proj_Inputs!$C$46-Proj_Inputs!$B$46)*F81</f>
        <v>-0.1135668</v>
      </c>
      <c r="M81" s="230">
        <f>Proj_Inputs!$B$47+(Proj_Inputs!$C$47-Proj_Inputs!$B$47)*G81</f>
        <v>6.6648249999999992E-2</v>
      </c>
      <c r="N81" s="231">
        <f>(1+H81)*(Proj_Inputs!$B$20+J81)/Proj_Inputs!$B$20*((Proj_Inputs!$B$21+I81)*(1-Proj_Inputs!$B$24)*NPV_Pirelli!$B$47+NPV_Pirelli!$B$49)+(1+K81)*NPV_Pirelli!$B$48</f>
        <v>455.01630416296064</v>
      </c>
      <c r="O81" s="231">
        <f>(1+H81)*(Proj_Inputs!$C$20+L81)/Proj_Inputs!$C$20*((Proj_Inputs!$C$21+I81)*(1-Proj_Inputs!$C$24)*NPV_Hankook!$B$47+NPV_Hankook!$B$49)+(1+M81)*NPV_Hankook!$B$48</f>
        <v>-280.84873292943871</v>
      </c>
    </row>
    <row r="82" spans="1:15" x14ac:dyDescent="0.2">
      <c r="A82" s="228">
        <v>58</v>
      </c>
      <c r="B82" s="229">
        <v>0.62124900000000005</v>
      </c>
      <c r="C82" s="229">
        <v>0.14110300000000001</v>
      </c>
      <c r="D82" s="229">
        <v>0.115124</v>
      </c>
      <c r="E82" s="229">
        <v>4.9327999999999997E-2</v>
      </c>
      <c r="F82" s="229">
        <v>0.75642600000000004</v>
      </c>
      <c r="G82" s="229">
        <v>0.74746199999999996</v>
      </c>
      <c r="H82" s="230">
        <f>Proj_Inputs!$B$44+(Proj_Inputs!$C$44-Proj_Inputs!$B$44)*B82</f>
        <v>2.4249800000000016E-2</v>
      </c>
      <c r="I82" s="230">
        <f>Proj_Inputs!$B$45+(Proj_Inputs!$C$45-Proj_Inputs!$B$45)*C82</f>
        <v>-2.8711759999999999E-2</v>
      </c>
      <c r="J82" s="230">
        <f>Proj_Inputs!$B$46+(Proj_Inputs!$C$46-Proj_Inputs!$B$46)*D82</f>
        <v>-0.12697519999999998</v>
      </c>
      <c r="K82" s="230">
        <f>Proj_Inputs!$B$47+(Proj_Inputs!$C$47-Proj_Inputs!$B$47)*E82</f>
        <v>-3.7668000000000007E-2</v>
      </c>
      <c r="L82" s="230">
        <f>Proj_Inputs!$B$46+(Proj_Inputs!$C$46-Proj_Inputs!$B$46)*F82</f>
        <v>1.2852000000000141E-3</v>
      </c>
      <c r="M82" s="230">
        <f>Proj_Inputs!$B$47+(Proj_Inputs!$C$47-Proj_Inputs!$B$47)*G82</f>
        <v>0.13686549999999997</v>
      </c>
      <c r="N82" s="231">
        <f>(1+H82)*(Proj_Inputs!$B$20+J82)/Proj_Inputs!$B$20*((Proj_Inputs!$B$21+I82)*(1-Proj_Inputs!$B$24)*NPV_Pirelli!$B$47+NPV_Pirelli!$B$49)+(1+K82)*NPV_Pirelli!$B$48</f>
        <v>135.21490131613336</v>
      </c>
      <c r="O82" s="231">
        <f>(1+H82)*(Proj_Inputs!$C$20+L82)/Proj_Inputs!$C$20*((Proj_Inputs!$C$21+I82)*(1-Proj_Inputs!$C$24)*NPV_Hankook!$B$47+NPV_Hankook!$B$49)+(1+M82)*NPV_Hankook!$B$48</f>
        <v>-423.17991762993483</v>
      </c>
    </row>
    <row r="83" spans="1:15" x14ac:dyDescent="0.2">
      <c r="A83" s="228">
        <v>59</v>
      </c>
      <c r="B83" s="229">
        <v>0.70870200000000005</v>
      </c>
      <c r="C83" s="229">
        <v>8.2115999999999995E-2</v>
      </c>
      <c r="D83" s="229">
        <v>0.479738</v>
      </c>
      <c r="E83" s="229">
        <v>0.94431600000000004</v>
      </c>
      <c r="F83" s="229">
        <v>0.526667</v>
      </c>
      <c r="G83" s="229">
        <v>0.67472699999999997</v>
      </c>
      <c r="H83" s="230">
        <f>Proj_Inputs!$B$44+(Proj_Inputs!$C$44-Proj_Inputs!$B$44)*B83</f>
        <v>4.1740400000000011E-2</v>
      </c>
      <c r="I83" s="230">
        <f>Proj_Inputs!$B$45+(Proj_Inputs!$C$45-Proj_Inputs!$B$45)*C83</f>
        <v>-3.3430720000000004E-2</v>
      </c>
      <c r="J83" s="230">
        <f>Proj_Inputs!$B$46+(Proj_Inputs!$C$46-Proj_Inputs!$B$46)*D83</f>
        <v>-5.4052399999999987E-2</v>
      </c>
      <c r="K83" s="230">
        <f>Proj_Inputs!$B$47+(Proj_Inputs!$C$47-Proj_Inputs!$B$47)*E83</f>
        <v>0.18607899999999999</v>
      </c>
      <c r="L83" s="230">
        <f>Proj_Inputs!$B$46+(Proj_Inputs!$C$46-Proj_Inputs!$B$46)*F83</f>
        <v>-4.4666599999999987E-2</v>
      </c>
      <c r="M83" s="230">
        <f>Proj_Inputs!$B$47+(Proj_Inputs!$C$47-Proj_Inputs!$B$47)*G83</f>
        <v>0.11868174999999999</v>
      </c>
      <c r="N83" s="231">
        <f>(1+H83)*(Proj_Inputs!$B$20+J83)/Proj_Inputs!$B$20*((Proj_Inputs!$B$21+I83)*(1-Proj_Inputs!$B$24)*NPV_Pirelli!$B$47+NPV_Pirelli!$B$49)+(1+K83)*NPV_Pirelli!$B$48</f>
        <v>31.266357648804274</v>
      </c>
      <c r="O83" s="231">
        <f>(1+H83)*(Proj_Inputs!$C$20+L83)/Proj_Inputs!$C$20*((Proj_Inputs!$C$21+I83)*(1-Proj_Inputs!$C$24)*NPV_Hankook!$B$47+NPV_Hankook!$B$49)+(1+M83)*NPV_Hankook!$B$48</f>
        <v>-465.3225498395351</v>
      </c>
    </row>
    <row r="84" spans="1:15" x14ac:dyDescent="0.2">
      <c r="A84" s="228">
        <v>60</v>
      </c>
      <c r="B84" s="229">
        <v>0.84509800000000002</v>
      </c>
      <c r="C84" s="229">
        <v>0.67014200000000002</v>
      </c>
      <c r="D84" s="229">
        <v>0.66248200000000002</v>
      </c>
      <c r="E84" s="229">
        <v>0.65576999999999996</v>
      </c>
      <c r="F84" s="229">
        <v>0.63426700000000003</v>
      </c>
      <c r="G84" s="229">
        <v>0.48823800000000001</v>
      </c>
      <c r="H84" s="230">
        <f>Proj_Inputs!$B$44+(Proj_Inputs!$C$44-Proj_Inputs!$B$44)*B84</f>
        <v>6.9019600000000014E-2</v>
      </c>
      <c r="I84" s="230">
        <f>Proj_Inputs!$B$45+(Proj_Inputs!$C$45-Proj_Inputs!$B$45)*C84</f>
        <v>1.3611360000000003E-2</v>
      </c>
      <c r="J84" s="230">
        <f>Proj_Inputs!$B$46+(Proj_Inputs!$C$46-Proj_Inputs!$B$46)*D84</f>
        <v>-1.750359999999998E-2</v>
      </c>
      <c r="K84" s="230">
        <f>Proj_Inputs!$B$47+(Proj_Inputs!$C$47-Proj_Inputs!$B$47)*E84</f>
        <v>0.11394249999999999</v>
      </c>
      <c r="L84" s="230">
        <f>Proj_Inputs!$B$46+(Proj_Inputs!$C$46-Proj_Inputs!$B$46)*F84</f>
        <v>-2.3146599999999989E-2</v>
      </c>
      <c r="M84" s="230">
        <f>Proj_Inputs!$B$47+(Proj_Inputs!$C$47-Proj_Inputs!$B$47)*G84</f>
        <v>7.2059499999999999E-2</v>
      </c>
      <c r="N84" s="231">
        <f>(1+H84)*(Proj_Inputs!$B$20+J84)/Proj_Inputs!$B$20*((Proj_Inputs!$B$21+I84)*(1-Proj_Inputs!$B$24)*NPV_Pirelli!$B$47+NPV_Pirelli!$B$49)+(1+K84)*NPV_Pirelli!$B$48</f>
        <v>461.32723613315147</v>
      </c>
      <c r="O84" s="231">
        <f>(1+H84)*(Proj_Inputs!$C$20+L84)/Proj_Inputs!$C$20*((Proj_Inputs!$C$21+I84)*(1-Proj_Inputs!$C$24)*NPV_Hankook!$B$47+NPV_Hankook!$B$49)+(1+M84)*NPV_Hankook!$B$48</f>
        <v>-31.832895278303795</v>
      </c>
    </row>
    <row r="85" spans="1:15" x14ac:dyDescent="0.2">
      <c r="A85" s="228">
        <v>61</v>
      </c>
      <c r="B85" s="229">
        <v>0.57919799999999999</v>
      </c>
      <c r="C85" s="229">
        <v>0.67682900000000001</v>
      </c>
      <c r="D85" s="229">
        <v>0.67300599999999999</v>
      </c>
      <c r="E85" s="229">
        <v>0.53974500000000003</v>
      </c>
      <c r="F85" s="229">
        <v>0.71237600000000001</v>
      </c>
      <c r="G85" s="229">
        <v>0.30888199999999999</v>
      </c>
      <c r="H85" s="230">
        <f>Proj_Inputs!$B$44+(Proj_Inputs!$C$44-Proj_Inputs!$B$44)*B85</f>
        <v>1.5839599999999995E-2</v>
      </c>
      <c r="I85" s="230">
        <f>Proj_Inputs!$B$45+(Proj_Inputs!$C$45-Proj_Inputs!$B$45)*C85</f>
        <v>1.4146320000000004E-2</v>
      </c>
      <c r="J85" s="230">
        <f>Proj_Inputs!$B$46+(Proj_Inputs!$C$46-Proj_Inputs!$B$46)*D85</f>
        <v>-1.539879999999999E-2</v>
      </c>
      <c r="K85" s="230">
        <f>Proj_Inputs!$B$47+(Proj_Inputs!$C$47-Proj_Inputs!$B$47)*E85</f>
        <v>8.4936250000000005E-2</v>
      </c>
      <c r="L85" s="230">
        <f>Proj_Inputs!$B$46+(Proj_Inputs!$C$46-Proj_Inputs!$B$46)*F85</f>
        <v>-7.5247999999999982E-3</v>
      </c>
      <c r="M85" s="230">
        <f>Proj_Inputs!$B$47+(Proj_Inputs!$C$47-Proj_Inputs!$B$47)*G85</f>
        <v>2.7220499999999995E-2</v>
      </c>
      <c r="N85" s="231">
        <f>(1+H85)*(Proj_Inputs!$B$20+J85)/Proj_Inputs!$B$20*((Proj_Inputs!$B$21+I85)*(1-Proj_Inputs!$B$24)*NPV_Pirelli!$B$47+NPV_Pirelli!$B$49)+(1+K85)*NPV_Pirelli!$B$48</f>
        <v>423.89881090991764</v>
      </c>
      <c r="O85" s="231">
        <f>(1+H85)*(Proj_Inputs!$C$20+L85)/Proj_Inputs!$C$20*((Proj_Inputs!$C$21+I85)*(1-Proj_Inputs!$C$24)*NPV_Hankook!$B$47+NPV_Hankook!$B$49)+(1+M85)*NPV_Hankook!$B$48</f>
        <v>-15.86085627805619</v>
      </c>
    </row>
    <row r="86" spans="1:15" x14ac:dyDescent="0.2">
      <c r="A86" s="228">
        <v>62</v>
      </c>
      <c r="B86" s="229">
        <v>0.998332</v>
      </c>
      <c r="C86" s="229">
        <v>0.25063999999999997</v>
      </c>
      <c r="D86" s="229">
        <v>3.9109999999999999E-2</v>
      </c>
      <c r="E86" s="229">
        <v>0.62250300000000003</v>
      </c>
      <c r="F86" s="229">
        <v>0.79277900000000001</v>
      </c>
      <c r="G86" s="229">
        <v>0.26104699999999997</v>
      </c>
      <c r="H86" s="230">
        <f>Proj_Inputs!$B$44+(Proj_Inputs!$C$44-Proj_Inputs!$B$44)*B86</f>
        <v>9.9666400000000016E-2</v>
      </c>
      <c r="I86" s="230">
        <f>Proj_Inputs!$B$45+(Proj_Inputs!$C$45-Proj_Inputs!$B$45)*C86</f>
        <v>-1.9948800000000003E-2</v>
      </c>
      <c r="J86" s="230">
        <f>Proj_Inputs!$B$46+(Proj_Inputs!$C$46-Proj_Inputs!$B$46)*D86</f>
        <v>-0.142178</v>
      </c>
      <c r="K86" s="230">
        <f>Proj_Inputs!$B$47+(Proj_Inputs!$C$47-Proj_Inputs!$B$47)*E86</f>
        <v>0.10562575</v>
      </c>
      <c r="L86" s="230">
        <f>Proj_Inputs!$B$46+(Proj_Inputs!$C$46-Proj_Inputs!$B$46)*F86</f>
        <v>8.55580000000003E-3</v>
      </c>
      <c r="M86" s="230">
        <f>Proj_Inputs!$B$47+(Proj_Inputs!$C$47-Proj_Inputs!$B$47)*G86</f>
        <v>1.5261749999999991E-2</v>
      </c>
      <c r="N86" s="231">
        <f>(1+H86)*(Proj_Inputs!$B$20+J86)/Proj_Inputs!$B$20*((Proj_Inputs!$B$21+I86)*(1-Proj_Inputs!$B$24)*NPV_Pirelli!$B$47+NPV_Pirelli!$B$49)+(1+K86)*NPV_Pirelli!$B$48</f>
        <v>119.38697620263611</v>
      </c>
      <c r="O86" s="231">
        <f>(1+H86)*(Proj_Inputs!$C$20+L86)/Proj_Inputs!$C$20*((Proj_Inputs!$C$21+I86)*(1-Proj_Inputs!$C$24)*NPV_Hankook!$B$47+NPV_Hankook!$B$49)+(1+M86)*NPV_Hankook!$B$48</f>
        <v>-141.04134727587279</v>
      </c>
    </row>
    <row r="87" spans="1:15" x14ac:dyDescent="0.2">
      <c r="A87" s="228">
        <v>63</v>
      </c>
      <c r="B87" s="229">
        <v>0.34526800000000002</v>
      </c>
      <c r="C87" s="229">
        <v>5.3206999999999997E-2</v>
      </c>
      <c r="D87" s="229">
        <v>1.5226999999999999E-2</v>
      </c>
      <c r="E87" s="229">
        <v>0.31603500000000001</v>
      </c>
      <c r="F87" s="229">
        <v>0.31514599999999998</v>
      </c>
      <c r="G87" s="229">
        <v>0.18732099999999999</v>
      </c>
      <c r="H87" s="230">
        <f>Proj_Inputs!$B$44+(Proj_Inputs!$C$44-Proj_Inputs!$B$44)*B87</f>
        <v>-3.0946399999999999E-2</v>
      </c>
      <c r="I87" s="230">
        <f>Proj_Inputs!$B$45+(Proj_Inputs!$C$45-Proj_Inputs!$B$45)*C87</f>
        <v>-3.5743440000000001E-2</v>
      </c>
      <c r="J87" s="230">
        <f>Proj_Inputs!$B$46+(Proj_Inputs!$C$46-Proj_Inputs!$B$46)*D87</f>
        <v>-0.14695459999999999</v>
      </c>
      <c r="K87" s="230">
        <f>Proj_Inputs!$B$47+(Proj_Inputs!$C$47-Proj_Inputs!$B$47)*E87</f>
        <v>2.900875E-2</v>
      </c>
      <c r="L87" s="230">
        <f>Proj_Inputs!$B$46+(Proj_Inputs!$C$46-Proj_Inputs!$B$46)*F87</f>
        <v>-8.6970800000000001E-2</v>
      </c>
      <c r="M87" s="230">
        <f>Proj_Inputs!$B$47+(Proj_Inputs!$C$47-Proj_Inputs!$B$47)*G87</f>
        <v>-3.1697500000000059E-3</v>
      </c>
      <c r="N87" s="231">
        <f>(1+H87)*(Proj_Inputs!$B$20+J87)/Proj_Inputs!$B$20*((Proj_Inputs!$B$21+I87)*(1-Proj_Inputs!$B$24)*NPV_Pirelli!$B$47+NPV_Pirelli!$B$49)+(1+K87)*NPV_Pirelli!$B$48</f>
        <v>-22.647564282911731</v>
      </c>
      <c r="O87" s="231">
        <f>(1+H87)*(Proj_Inputs!$C$20+L87)/Proj_Inputs!$C$20*((Proj_Inputs!$C$21+I87)*(1-Proj_Inputs!$C$24)*NPV_Hankook!$B$47+NPV_Hankook!$B$49)+(1+M87)*NPV_Hankook!$B$48</f>
        <v>-434.24650922468913</v>
      </c>
    </row>
    <row r="88" spans="1:15" x14ac:dyDescent="0.2">
      <c r="A88" s="228">
        <v>64</v>
      </c>
      <c r="B88" s="229">
        <v>0.28345799999999999</v>
      </c>
      <c r="C88" s="229">
        <v>0.45405200000000001</v>
      </c>
      <c r="D88" s="229">
        <v>5.0091999999999998E-2</v>
      </c>
      <c r="E88" s="229">
        <v>0.15959100000000001</v>
      </c>
      <c r="F88" s="229">
        <v>0.78593299999999999</v>
      </c>
      <c r="G88" s="229">
        <v>0.63851100000000005</v>
      </c>
      <c r="H88" s="230">
        <f>Proj_Inputs!$B$44+(Proj_Inputs!$C$44-Proj_Inputs!$B$44)*B88</f>
        <v>-4.3308400000000004E-2</v>
      </c>
      <c r="I88" s="230">
        <f>Proj_Inputs!$B$45+(Proj_Inputs!$C$45-Proj_Inputs!$B$45)*C88</f>
        <v>-3.6758399999999997E-3</v>
      </c>
      <c r="J88" s="230">
        <f>Proj_Inputs!$B$46+(Proj_Inputs!$C$46-Proj_Inputs!$B$46)*D88</f>
        <v>-0.13998159999999998</v>
      </c>
      <c r="K88" s="230">
        <f>Proj_Inputs!$B$47+(Proj_Inputs!$C$47-Proj_Inputs!$B$47)*E88</f>
        <v>-1.010225E-2</v>
      </c>
      <c r="L88" s="230">
        <f>Proj_Inputs!$B$46+(Proj_Inputs!$C$46-Proj_Inputs!$B$46)*F88</f>
        <v>7.1866000000000152E-3</v>
      </c>
      <c r="M88" s="230">
        <f>Proj_Inputs!$B$47+(Proj_Inputs!$C$47-Proj_Inputs!$B$47)*G88</f>
        <v>0.10962775000000001</v>
      </c>
      <c r="N88" s="231">
        <f>(1+H88)*(Proj_Inputs!$B$20+J88)/Proj_Inputs!$B$20*((Proj_Inputs!$B$21+I88)*(1-Proj_Inputs!$B$24)*NPV_Pirelli!$B$47+NPV_Pirelli!$B$49)+(1+K88)*NPV_Pirelli!$B$48</f>
        <v>165.60118031575678</v>
      </c>
      <c r="O88" s="231">
        <f>(1+H88)*(Proj_Inputs!$C$20+L88)/Proj_Inputs!$C$20*((Proj_Inputs!$C$21+I88)*(1-Proj_Inputs!$C$24)*NPV_Hankook!$B$47+NPV_Hankook!$B$49)+(1+M88)*NPV_Hankook!$B$48</f>
        <v>-279.85771394872972</v>
      </c>
    </row>
    <row r="89" spans="1:15" x14ac:dyDescent="0.2">
      <c r="A89" s="228">
        <v>65</v>
      </c>
      <c r="B89" s="229">
        <v>0.39331199999999999</v>
      </c>
      <c r="C89" s="229">
        <v>0.41241800000000001</v>
      </c>
      <c r="D89" s="229">
        <v>0.68044000000000004</v>
      </c>
      <c r="E89" s="229">
        <v>0.13433100000000001</v>
      </c>
      <c r="F89" s="229">
        <v>1.3297E-2</v>
      </c>
      <c r="G89" s="229">
        <v>0.36033399999999999</v>
      </c>
      <c r="H89" s="230">
        <f>Proj_Inputs!$B$44+(Proj_Inputs!$C$44-Proj_Inputs!$B$44)*B89</f>
        <v>-2.1337599999999998E-2</v>
      </c>
      <c r="I89" s="230">
        <f>Proj_Inputs!$B$45+(Proj_Inputs!$C$45-Proj_Inputs!$B$45)*C89</f>
        <v>-7.006560000000002E-3</v>
      </c>
      <c r="J89" s="230">
        <f>Proj_Inputs!$B$46+(Proj_Inputs!$C$46-Proj_Inputs!$B$46)*D89</f>
        <v>-1.391199999999998E-2</v>
      </c>
      <c r="K89" s="230">
        <f>Proj_Inputs!$B$47+(Proj_Inputs!$C$47-Proj_Inputs!$B$47)*E89</f>
        <v>-1.6417250000000001E-2</v>
      </c>
      <c r="L89" s="230">
        <f>Proj_Inputs!$B$46+(Proj_Inputs!$C$46-Proj_Inputs!$B$46)*F89</f>
        <v>-0.14734059999999999</v>
      </c>
      <c r="M89" s="230">
        <f>Proj_Inputs!$B$47+(Proj_Inputs!$C$47-Proj_Inputs!$B$47)*G89</f>
        <v>4.0083499999999994E-2</v>
      </c>
      <c r="N89" s="231">
        <f>(1+H89)*(Proj_Inputs!$B$20+J89)/Proj_Inputs!$B$20*((Proj_Inputs!$B$21+I89)*(1-Proj_Inputs!$B$24)*NPV_Pirelli!$B$47+NPV_Pirelli!$B$49)+(1+K89)*NPV_Pirelli!$B$48</f>
        <v>332.97246382090873</v>
      </c>
      <c r="O89" s="231">
        <f>(1+H89)*(Proj_Inputs!$C$20+L89)/Proj_Inputs!$C$20*((Proj_Inputs!$C$21+I89)*(1-Proj_Inputs!$C$24)*NPV_Hankook!$B$47+NPV_Hankook!$B$49)+(1+M89)*NPV_Hankook!$B$48</f>
        <v>-370.58250351606637</v>
      </c>
    </row>
    <row r="90" spans="1:15" x14ac:dyDescent="0.2">
      <c r="A90" s="228">
        <v>66</v>
      </c>
      <c r="B90" s="229">
        <v>0.41491899999999998</v>
      </c>
      <c r="C90" s="229">
        <v>0.247784</v>
      </c>
      <c r="D90" s="229">
        <v>0.34255200000000002</v>
      </c>
      <c r="E90" s="229">
        <v>0.61045400000000005</v>
      </c>
      <c r="F90" s="229">
        <v>0.327567</v>
      </c>
      <c r="G90" s="229">
        <v>0.73582999999999998</v>
      </c>
      <c r="H90" s="230">
        <f>Proj_Inputs!$B$44+(Proj_Inputs!$C$44-Proj_Inputs!$B$44)*B90</f>
        <v>-1.7016200000000009E-2</v>
      </c>
      <c r="I90" s="230">
        <f>Proj_Inputs!$B$45+(Proj_Inputs!$C$45-Proj_Inputs!$B$45)*C90</f>
        <v>-2.0177279999999999E-2</v>
      </c>
      <c r="J90" s="230">
        <f>Proj_Inputs!$B$46+(Proj_Inputs!$C$46-Proj_Inputs!$B$46)*D90</f>
        <v>-8.1489599999999981E-2</v>
      </c>
      <c r="K90" s="230">
        <f>Proj_Inputs!$B$47+(Proj_Inputs!$C$47-Proj_Inputs!$B$47)*E90</f>
        <v>0.10261350000000001</v>
      </c>
      <c r="L90" s="230">
        <f>Proj_Inputs!$B$46+(Proj_Inputs!$C$46-Proj_Inputs!$B$46)*F90</f>
        <v>-8.4486599999999995E-2</v>
      </c>
      <c r="M90" s="230">
        <f>Proj_Inputs!$B$47+(Proj_Inputs!$C$47-Proj_Inputs!$B$47)*G90</f>
        <v>0.13395750000000001</v>
      </c>
      <c r="N90" s="231">
        <f>(1+H90)*(Proj_Inputs!$B$20+J90)/Proj_Inputs!$B$20*((Proj_Inputs!$B$21+I90)*(1-Proj_Inputs!$B$24)*NPV_Pirelli!$B$47+NPV_Pirelli!$B$49)+(1+K90)*NPV_Pirelli!$B$48</f>
        <v>86.286646868634762</v>
      </c>
      <c r="O90" s="231">
        <f>(1+H90)*(Proj_Inputs!$C$20+L90)/Proj_Inputs!$C$20*((Proj_Inputs!$C$21+I90)*(1-Proj_Inputs!$C$24)*NPV_Hankook!$B$47+NPV_Hankook!$B$49)+(1+M90)*NPV_Hankook!$B$48</f>
        <v>-486.07357511627879</v>
      </c>
    </row>
    <row r="91" spans="1:15" x14ac:dyDescent="0.2">
      <c r="A91" s="228">
        <v>67</v>
      </c>
      <c r="B91" s="229">
        <v>0.59565900000000005</v>
      </c>
      <c r="C91" s="229">
        <v>0.80687600000000004</v>
      </c>
      <c r="D91" s="229">
        <v>0.41377799999999998</v>
      </c>
      <c r="E91" s="229">
        <v>0.62699199999999999</v>
      </c>
      <c r="F91" s="229">
        <v>0.44197999999999998</v>
      </c>
      <c r="G91" s="229">
        <v>0.127363</v>
      </c>
      <c r="H91" s="230">
        <f>Proj_Inputs!$B$44+(Proj_Inputs!$C$44-Proj_Inputs!$B$44)*B91</f>
        <v>1.9131800000000004E-2</v>
      </c>
      <c r="I91" s="230">
        <f>Proj_Inputs!$B$45+(Proj_Inputs!$C$45-Proj_Inputs!$B$45)*C91</f>
        <v>2.4550080000000009E-2</v>
      </c>
      <c r="J91" s="230">
        <f>Proj_Inputs!$B$46+(Proj_Inputs!$C$46-Proj_Inputs!$B$46)*D91</f>
        <v>-6.7244399999999996E-2</v>
      </c>
      <c r="K91" s="230">
        <f>Proj_Inputs!$B$47+(Proj_Inputs!$C$47-Proj_Inputs!$B$47)*E91</f>
        <v>0.106748</v>
      </c>
      <c r="L91" s="230">
        <f>Proj_Inputs!$B$46+(Proj_Inputs!$C$46-Proj_Inputs!$B$46)*F91</f>
        <v>-6.1603999999999992E-2</v>
      </c>
      <c r="M91" s="230">
        <f>Proj_Inputs!$B$47+(Proj_Inputs!$C$47-Proj_Inputs!$B$47)*G91</f>
        <v>-1.8159250000000002E-2</v>
      </c>
      <c r="N91" s="231">
        <f>(1+H91)*(Proj_Inputs!$B$20+J91)/Proj_Inputs!$B$20*((Proj_Inputs!$B$21+I91)*(1-Proj_Inputs!$B$24)*NPV_Pirelli!$B$47+NPV_Pirelli!$B$49)+(1+K91)*NPV_Pirelli!$B$48</f>
        <v>396.32341491560987</v>
      </c>
      <c r="O91" s="231">
        <f>(1+H91)*(Proj_Inputs!$C$20+L91)/Proj_Inputs!$C$20*((Proj_Inputs!$C$21+I91)*(1-Proj_Inputs!$C$24)*NPV_Hankook!$B$47+NPV_Hankook!$B$49)+(1+M91)*NPV_Hankook!$B$48</f>
        <v>36.760848162016828</v>
      </c>
    </row>
    <row r="92" spans="1:15" x14ac:dyDescent="0.2">
      <c r="A92" s="228">
        <v>68</v>
      </c>
      <c r="B92" s="229">
        <v>0.116076</v>
      </c>
      <c r="C92" s="229">
        <v>0.99511099999999997</v>
      </c>
      <c r="D92" s="229">
        <v>0.93645</v>
      </c>
      <c r="E92" s="229">
        <v>0.40892299999999998</v>
      </c>
      <c r="F92" s="229">
        <v>0.99847600000000003</v>
      </c>
      <c r="G92" s="229">
        <v>0.496583</v>
      </c>
      <c r="H92" s="230">
        <f>Proj_Inputs!$B$44+(Proj_Inputs!$C$44-Proj_Inputs!$B$44)*B92</f>
        <v>-7.67848E-2</v>
      </c>
      <c r="I92" s="230">
        <f>Proj_Inputs!$B$45+(Proj_Inputs!$C$45-Proj_Inputs!$B$45)*C92</f>
        <v>3.9608879999999992E-2</v>
      </c>
      <c r="J92" s="230">
        <f>Proj_Inputs!$B$46+(Proj_Inputs!$C$46-Proj_Inputs!$B$46)*D92</f>
        <v>3.7290000000000018E-2</v>
      </c>
      <c r="K92" s="230">
        <f>Proj_Inputs!$B$47+(Proj_Inputs!$C$47-Proj_Inputs!$B$47)*E92</f>
        <v>5.2230749999999992E-2</v>
      </c>
      <c r="L92" s="230">
        <f>Proj_Inputs!$B$46+(Proj_Inputs!$C$46-Proj_Inputs!$B$46)*F92</f>
        <v>4.9695200000000023E-2</v>
      </c>
      <c r="M92" s="230">
        <f>Proj_Inputs!$B$47+(Proj_Inputs!$C$47-Proj_Inputs!$B$47)*G92</f>
        <v>7.4145749999999996E-2</v>
      </c>
      <c r="N92" s="231">
        <f>(1+H92)*(Proj_Inputs!$B$20+J92)/Proj_Inputs!$B$20*((Proj_Inputs!$B$21+I92)*(1-Proj_Inputs!$B$24)*NPV_Pirelli!$B$47+NPV_Pirelli!$B$49)+(1+K92)*NPV_Pirelli!$B$48</f>
        <v>553.73547828799531</v>
      </c>
      <c r="O92" s="231">
        <f>(1+H92)*(Proj_Inputs!$C$20+L92)/Proj_Inputs!$C$20*((Proj_Inputs!$C$21+I92)*(1-Proj_Inputs!$C$24)*NPV_Hankook!$B$47+NPV_Hankook!$B$49)+(1+M92)*NPV_Hankook!$B$48</f>
        <v>60.739436171672878</v>
      </c>
    </row>
    <row r="93" spans="1:15" x14ac:dyDescent="0.2">
      <c r="A93" s="228">
        <v>69</v>
      </c>
      <c r="B93" s="229">
        <v>0.72724200000000006</v>
      </c>
      <c r="C93" s="229">
        <v>0.92449199999999998</v>
      </c>
      <c r="D93" s="229">
        <v>0.84818199999999999</v>
      </c>
      <c r="E93" s="229">
        <v>0.96890100000000001</v>
      </c>
      <c r="F93" s="229">
        <v>0.84007600000000004</v>
      </c>
      <c r="G93" s="229">
        <v>0.63999399999999995</v>
      </c>
      <c r="H93" s="230">
        <f>Proj_Inputs!$B$44+(Proj_Inputs!$C$44-Proj_Inputs!$B$44)*B93</f>
        <v>4.54484E-2</v>
      </c>
      <c r="I93" s="230">
        <f>Proj_Inputs!$B$45+(Proj_Inputs!$C$45-Proj_Inputs!$B$45)*C93</f>
        <v>3.3959360000000001E-2</v>
      </c>
      <c r="J93" s="230">
        <f>Proj_Inputs!$B$46+(Proj_Inputs!$C$46-Proj_Inputs!$B$46)*D93</f>
        <v>1.9636400000000026E-2</v>
      </c>
      <c r="K93" s="230">
        <f>Proj_Inputs!$B$47+(Proj_Inputs!$C$47-Proj_Inputs!$B$47)*E93</f>
        <v>0.19222525000000001</v>
      </c>
      <c r="L93" s="230">
        <f>Proj_Inputs!$B$46+(Proj_Inputs!$C$46-Proj_Inputs!$B$46)*F93</f>
        <v>1.8015200000000037E-2</v>
      </c>
      <c r="M93" s="230">
        <f>Proj_Inputs!$B$47+(Proj_Inputs!$C$47-Proj_Inputs!$B$47)*G93</f>
        <v>0.10999849999999999</v>
      </c>
      <c r="N93" s="231">
        <f>(1+H93)*(Proj_Inputs!$B$20+J93)/Proj_Inputs!$B$20*((Proj_Inputs!$B$21+I93)*(1-Proj_Inputs!$B$24)*NPV_Pirelli!$B$47+NPV_Pirelli!$B$49)+(1+K93)*NPV_Pirelli!$B$48</f>
        <v>559.67663150857345</v>
      </c>
      <c r="O93" s="231">
        <f>(1+H93)*(Proj_Inputs!$C$20+L93)/Proj_Inputs!$C$20*((Proj_Inputs!$C$21+I93)*(1-Proj_Inputs!$C$24)*NPV_Hankook!$B$47+NPV_Hankook!$B$49)+(1+M93)*NPV_Hankook!$B$48</f>
        <v>101.73163257992337</v>
      </c>
    </row>
    <row r="94" spans="1:15" x14ac:dyDescent="0.2">
      <c r="A94" s="228">
        <v>70</v>
      </c>
      <c r="B94" s="229">
        <v>0.817079</v>
      </c>
      <c r="C94" s="229">
        <v>0.95698799999999995</v>
      </c>
      <c r="D94" s="229">
        <v>0.89813799999999999</v>
      </c>
      <c r="E94" s="229">
        <v>0.76142500000000002</v>
      </c>
      <c r="F94" s="229">
        <v>0.369695</v>
      </c>
      <c r="G94" s="229">
        <v>0.86627900000000002</v>
      </c>
      <c r="H94" s="230">
        <f>Proj_Inputs!$B$44+(Proj_Inputs!$C$44-Proj_Inputs!$B$44)*B94</f>
        <v>6.3415799999999994E-2</v>
      </c>
      <c r="I94" s="230">
        <f>Proj_Inputs!$B$45+(Proj_Inputs!$C$45-Proj_Inputs!$B$45)*C94</f>
        <v>3.6559039999999994E-2</v>
      </c>
      <c r="J94" s="230">
        <f>Proj_Inputs!$B$46+(Proj_Inputs!$C$46-Proj_Inputs!$B$46)*D94</f>
        <v>2.9627600000000004E-2</v>
      </c>
      <c r="K94" s="230">
        <f>Proj_Inputs!$B$47+(Proj_Inputs!$C$47-Proj_Inputs!$B$47)*E94</f>
        <v>0.14035625000000002</v>
      </c>
      <c r="L94" s="230">
        <f>Proj_Inputs!$B$46+(Proj_Inputs!$C$46-Proj_Inputs!$B$46)*F94</f>
        <v>-7.606099999999999E-2</v>
      </c>
      <c r="M94" s="230">
        <f>Proj_Inputs!$B$47+(Proj_Inputs!$C$47-Proj_Inputs!$B$47)*G94</f>
        <v>0.16656975000000002</v>
      </c>
      <c r="N94" s="231">
        <f>(1+H94)*(Proj_Inputs!$B$20+J94)/Proj_Inputs!$B$20*((Proj_Inputs!$B$21+I94)*(1-Proj_Inputs!$B$24)*NPV_Pirelli!$B$47+NPV_Pirelli!$B$49)+(1+K94)*NPV_Pirelli!$B$48</f>
        <v>660.57615849260401</v>
      </c>
      <c r="O94" s="231">
        <f>(1+H94)*(Proj_Inputs!$C$20+L94)/Proj_Inputs!$C$20*((Proj_Inputs!$C$21+I94)*(1-Proj_Inputs!$C$24)*NPV_Hankook!$B$47+NPV_Hankook!$B$49)+(1+M94)*NPV_Hankook!$B$48</f>
        <v>-67.997907308073763</v>
      </c>
    </row>
    <row r="95" spans="1:15" x14ac:dyDescent="0.2">
      <c r="A95" s="228">
        <v>71</v>
      </c>
      <c r="B95" s="229">
        <v>0.84978100000000001</v>
      </c>
      <c r="C95" s="229">
        <v>7.0253999999999997E-2</v>
      </c>
      <c r="D95" s="229">
        <v>0.88949900000000004</v>
      </c>
      <c r="E95" s="229">
        <v>0.48411700000000002</v>
      </c>
      <c r="F95" s="229">
        <v>0.59288399999999997</v>
      </c>
      <c r="G95" s="229">
        <v>0.85996600000000001</v>
      </c>
      <c r="H95" s="230">
        <f>Proj_Inputs!$B$44+(Proj_Inputs!$C$44-Proj_Inputs!$B$44)*B95</f>
        <v>6.9956199999999996E-2</v>
      </c>
      <c r="I95" s="230">
        <f>Proj_Inputs!$B$45+(Proj_Inputs!$C$45-Proj_Inputs!$B$45)*C95</f>
        <v>-3.4379680000000003E-2</v>
      </c>
      <c r="J95" s="230">
        <f>Proj_Inputs!$B$46+(Proj_Inputs!$C$46-Proj_Inputs!$B$46)*D95</f>
        <v>2.789980000000003E-2</v>
      </c>
      <c r="K95" s="230">
        <f>Proj_Inputs!$B$47+(Proj_Inputs!$C$47-Proj_Inputs!$B$47)*E95</f>
        <v>7.1029250000000002E-2</v>
      </c>
      <c r="L95" s="230">
        <f>Proj_Inputs!$B$46+(Proj_Inputs!$C$46-Proj_Inputs!$B$46)*F95</f>
        <v>-3.1423199999999998E-2</v>
      </c>
      <c r="M95" s="230">
        <f>Proj_Inputs!$B$47+(Proj_Inputs!$C$47-Proj_Inputs!$B$47)*G95</f>
        <v>0.16499150000000001</v>
      </c>
      <c r="N95" s="231">
        <f>(1+H95)*(Proj_Inputs!$B$20+J95)/Proj_Inputs!$B$20*((Proj_Inputs!$B$21+I95)*(1-Proj_Inputs!$B$24)*NPV_Pirelli!$B$47+NPV_Pirelli!$B$49)+(1+K95)*NPV_Pirelli!$B$48</f>
        <v>237.81062646437317</v>
      </c>
      <c r="O95" s="231">
        <f>(1+H95)*(Proj_Inputs!$C$20+L95)/Proj_Inputs!$C$20*((Proj_Inputs!$C$21+I95)*(1-Proj_Inputs!$C$24)*NPV_Hankook!$B$47+NPV_Hankook!$B$49)+(1+M95)*NPV_Hankook!$B$48</f>
        <v>-489.97042956365465</v>
      </c>
    </row>
    <row r="96" spans="1:15" x14ac:dyDescent="0.2">
      <c r="A96" s="228">
        <v>72</v>
      </c>
      <c r="B96" s="229">
        <v>0.779698</v>
      </c>
      <c r="C96" s="229">
        <v>0.94438699999999998</v>
      </c>
      <c r="D96" s="229">
        <v>0.91636399999999996</v>
      </c>
      <c r="E96" s="229">
        <v>0.64309899999999998</v>
      </c>
      <c r="F96" s="229">
        <v>0.72402200000000005</v>
      </c>
      <c r="G96" s="229">
        <v>0.37520700000000001</v>
      </c>
      <c r="H96" s="230">
        <f>Proj_Inputs!$B$44+(Proj_Inputs!$C$44-Proj_Inputs!$B$44)*B96</f>
        <v>5.5939600000000006E-2</v>
      </c>
      <c r="I96" s="230">
        <f>Proj_Inputs!$B$45+(Proj_Inputs!$C$45-Proj_Inputs!$B$45)*C96</f>
        <v>3.555096E-2</v>
      </c>
      <c r="J96" s="230">
        <f>Proj_Inputs!$B$46+(Proj_Inputs!$C$46-Proj_Inputs!$B$46)*D96</f>
        <v>3.3272800000000019E-2</v>
      </c>
      <c r="K96" s="230">
        <f>Proj_Inputs!$B$47+(Proj_Inputs!$C$47-Proj_Inputs!$B$47)*E96</f>
        <v>0.11077474999999999</v>
      </c>
      <c r="L96" s="230">
        <f>Proj_Inputs!$B$46+(Proj_Inputs!$C$46-Proj_Inputs!$B$46)*F96</f>
        <v>-5.1955999999999669E-3</v>
      </c>
      <c r="M96" s="230">
        <f>Proj_Inputs!$B$47+(Proj_Inputs!$C$47-Proj_Inputs!$B$47)*G96</f>
        <v>4.380175E-2</v>
      </c>
      <c r="N96" s="231">
        <f>(1+H96)*(Proj_Inputs!$B$20+J96)/Proj_Inputs!$B$20*((Proj_Inputs!$B$21+I96)*(1-Proj_Inputs!$B$24)*NPV_Pirelli!$B$47+NPV_Pirelli!$B$49)+(1+K96)*NPV_Pirelli!$B$48</f>
        <v>672.17617927628226</v>
      </c>
      <c r="O96" s="231">
        <f>(1+H96)*(Proj_Inputs!$C$20+L96)/Proj_Inputs!$C$20*((Proj_Inputs!$C$21+I96)*(1-Proj_Inputs!$C$24)*NPV_Hankook!$B$47+NPV_Hankook!$B$49)+(1+M96)*NPV_Hankook!$B$48</f>
        <v>168.59528090575191</v>
      </c>
    </row>
    <row r="97" spans="1:15" x14ac:dyDescent="0.2">
      <c r="A97" s="228">
        <v>73</v>
      </c>
      <c r="B97" s="229">
        <v>0.64053800000000005</v>
      </c>
      <c r="C97" s="229">
        <v>0.90177799999999997</v>
      </c>
      <c r="D97" s="229">
        <v>1.8519999999999998E-2</v>
      </c>
      <c r="E97" s="229">
        <v>0.85874399999999995</v>
      </c>
      <c r="F97" s="229">
        <v>0.90064</v>
      </c>
      <c r="G97" s="229">
        <v>0.71546500000000002</v>
      </c>
      <c r="H97" s="230">
        <f>Proj_Inputs!$B$44+(Proj_Inputs!$C$44-Proj_Inputs!$B$44)*B97</f>
        <v>2.810760000000001E-2</v>
      </c>
      <c r="I97" s="230">
        <f>Proj_Inputs!$B$45+(Proj_Inputs!$C$45-Proj_Inputs!$B$45)*C97</f>
        <v>3.2142239999999996E-2</v>
      </c>
      <c r="J97" s="230">
        <f>Proj_Inputs!$B$46+(Proj_Inputs!$C$46-Proj_Inputs!$B$46)*D97</f>
        <v>-0.14629599999999998</v>
      </c>
      <c r="K97" s="230">
        <f>Proj_Inputs!$B$47+(Proj_Inputs!$C$47-Proj_Inputs!$B$47)*E97</f>
        <v>0.164686</v>
      </c>
      <c r="L97" s="230">
        <f>Proj_Inputs!$B$46+(Proj_Inputs!$C$46-Proj_Inputs!$B$46)*F97</f>
        <v>3.0128000000000016E-2</v>
      </c>
      <c r="M97" s="230">
        <f>Proj_Inputs!$B$47+(Proj_Inputs!$C$47-Proj_Inputs!$B$47)*G97</f>
        <v>0.12886625000000002</v>
      </c>
      <c r="N97" s="231">
        <f>(1+H97)*(Proj_Inputs!$B$20+J97)/Proj_Inputs!$B$20*((Proj_Inputs!$B$21+I97)*(1-Proj_Inputs!$B$24)*NPV_Pirelli!$B$47+NPV_Pirelli!$B$49)+(1+K97)*NPV_Pirelli!$B$48</f>
        <v>280.75288124039037</v>
      </c>
      <c r="O97" s="231">
        <f>(1+H97)*(Proj_Inputs!$C$20+L97)/Proj_Inputs!$C$20*((Proj_Inputs!$C$21+I97)*(1-Proj_Inputs!$C$24)*NPV_Hankook!$B$47+NPV_Hankook!$B$49)+(1+M97)*NPV_Hankook!$B$48</f>
        <v>61.520505250729911</v>
      </c>
    </row>
    <row r="98" spans="1:15" x14ac:dyDescent="0.2">
      <c r="A98" s="228">
        <v>74</v>
      </c>
      <c r="B98" s="229">
        <v>0.89459299999999997</v>
      </c>
      <c r="C98" s="229">
        <v>0.16376199999999999</v>
      </c>
      <c r="D98" s="229">
        <v>0.15160999999999999</v>
      </c>
      <c r="E98" s="229">
        <v>1.4674E-2</v>
      </c>
      <c r="F98" s="229">
        <v>1.5584000000000001E-2</v>
      </c>
      <c r="G98" s="229">
        <v>6.0449999999999997E-2</v>
      </c>
      <c r="H98" s="230">
        <f>Proj_Inputs!$B$44+(Proj_Inputs!$C$44-Proj_Inputs!$B$44)*B98</f>
        <v>7.8918600000000005E-2</v>
      </c>
      <c r="I98" s="230">
        <f>Proj_Inputs!$B$45+(Proj_Inputs!$C$45-Proj_Inputs!$B$45)*C98</f>
        <v>-2.6899039999999999E-2</v>
      </c>
      <c r="J98" s="230">
        <f>Proj_Inputs!$B$46+(Proj_Inputs!$C$46-Proj_Inputs!$B$46)*D98</f>
        <v>-0.11967799999999999</v>
      </c>
      <c r="K98" s="230">
        <f>Proj_Inputs!$B$47+(Proj_Inputs!$C$47-Proj_Inputs!$B$47)*E98</f>
        <v>-4.6331500000000005E-2</v>
      </c>
      <c r="L98" s="230">
        <f>Proj_Inputs!$B$46+(Proj_Inputs!$C$46-Proj_Inputs!$B$46)*F98</f>
        <v>-0.14688319999999999</v>
      </c>
      <c r="M98" s="230">
        <f>Proj_Inputs!$B$47+(Proj_Inputs!$C$47-Proj_Inputs!$B$47)*G98</f>
        <v>-3.4887500000000002E-2</v>
      </c>
      <c r="N98" s="231">
        <f>(1+H98)*(Proj_Inputs!$B$20+J98)/Proj_Inputs!$B$20*((Proj_Inputs!$B$21+I98)*(1-Proj_Inputs!$B$24)*NPV_Pirelli!$B$47+NPV_Pirelli!$B$49)+(1+K98)*NPV_Pirelli!$B$48</f>
        <v>209.13276665632441</v>
      </c>
      <c r="O98" s="231">
        <f>(1+H98)*(Proj_Inputs!$C$20+L98)/Proj_Inputs!$C$20*((Proj_Inputs!$C$21+I98)*(1-Proj_Inputs!$C$24)*NPV_Hankook!$B$47+NPV_Hankook!$B$49)+(1+M98)*NPV_Hankook!$B$48</f>
        <v>-319.90121649896639</v>
      </c>
    </row>
    <row r="99" spans="1:15" x14ac:dyDescent="0.2">
      <c r="A99" s="228">
        <v>75</v>
      </c>
      <c r="B99" s="229">
        <v>0.33421200000000001</v>
      </c>
      <c r="C99" s="229">
        <v>0.97609199999999996</v>
      </c>
      <c r="D99" s="229">
        <v>0.238208</v>
      </c>
      <c r="E99" s="229">
        <v>0.51602400000000004</v>
      </c>
      <c r="F99" s="229">
        <v>0.77947500000000003</v>
      </c>
      <c r="G99" s="229">
        <v>0.15518100000000001</v>
      </c>
      <c r="H99" s="230">
        <f>Proj_Inputs!$B$44+(Proj_Inputs!$C$44-Proj_Inputs!$B$44)*B99</f>
        <v>-3.3157599999999995E-2</v>
      </c>
      <c r="I99" s="230">
        <f>Proj_Inputs!$B$45+(Proj_Inputs!$C$45-Proj_Inputs!$B$45)*C99</f>
        <v>3.8087359999999994E-2</v>
      </c>
      <c r="J99" s="230">
        <f>Proj_Inputs!$B$46+(Proj_Inputs!$C$46-Proj_Inputs!$B$46)*D99</f>
        <v>-0.10235839999999999</v>
      </c>
      <c r="K99" s="230">
        <f>Proj_Inputs!$B$47+(Proj_Inputs!$C$47-Proj_Inputs!$B$47)*E99</f>
        <v>7.9006000000000007E-2</v>
      </c>
      <c r="L99" s="230">
        <f>Proj_Inputs!$B$46+(Proj_Inputs!$C$46-Proj_Inputs!$B$46)*F99</f>
        <v>5.8950000000000113E-3</v>
      </c>
      <c r="M99" s="230">
        <f>Proj_Inputs!$B$47+(Proj_Inputs!$C$47-Proj_Inputs!$B$47)*G99</f>
        <v>-1.1204749999999999E-2</v>
      </c>
      <c r="N99" s="231">
        <f>(1+H99)*(Proj_Inputs!$B$20+J99)/Proj_Inputs!$B$20*((Proj_Inputs!$B$21+I99)*(1-Proj_Inputs!$B$24)*NPV_Pirelli!$B$47+NPV_Pirelli!$B$49)+(1+K99)*NPV_Pirelli!$B$48</f>
        <v>374.09549625632042</v>
      </c>
      <c r="O99" s="231">
        <f>(1+H99)*(Proj_Inputs!$C$20+L99)/Proj_Inputs!$C$20*((Proj_Inputs!$C$21+I99)*(1-Proj_Inputs!$C$24)*NPV_Hankook!$B$47+NPV_Hankook!$B$49)+(1+M99)*NPV_Hankook!$B$48</f>
        <v>148.51279858868884</v>
      </c>
    </row>
    <row r="100" spans="1:15" x14ac:dyDescent="0.2">
      <c r="A100" s="228">
        <v>76</v>
      </c>
      <c r="B100" s="229">
        <v>0.83308000000000004</v>
      </c>
      <c r="C100" s="229">
        <v>4.1480999999999997E-2</v>
      </c>
      <c r="D100" s="229">
        <v>0.91673300000000002</v>
      </c>
      <c r="E100" s="229">
        <v>0.81803599999999999</v>
      </c>
      <c r="F100" s="229">
        <v>0.35909200000000002</v>
      </c>
      <c r="G100" s="229">
        <v>0.52346199999999998</v>
      </c>
      <c r="H100" s="230">
        <f>Proj_Inputs!$B$44+(Proj_Inputs!$C$44-Proj_Inputs!$B$44)*B100</f>
        <v>6.6616000000000009E-2</v>
      </c>
      <c r="I100" s="230">
        <f>Proj_Inputs!$B$45+(Proj_Inputs!$C$45-Proj_Inputs!$B$45)*C100</f>
        <v>-3.6681520000000002E-2</v>
      </c>
      <c r="J100" s="230">
        <f>Proj_Inputs!$B$46+(Proj_Inputs!$C$46-Proj_Inputs!$B$46)*D100</f>
        <v>3.3346600000000032E-2</v>
      </c>
      <c r="K100" s="230">
        <f>Proj_Inputs!$B$47+(Proj_Inputs!$C$47-Proj_Inputs!$B$47)*E100</f>
        <v>0.15450900000000001</v>
      </c>
      <c r="L100" s="230">
        <f>Proj_Inputs!$B$46+(Proj_Inputs!$C$46-Proj_Inputs!$B$46)*F100</f>
        <v>-7.818159999999999E-2</v>
      </c>
      <c r="M100" s="230">
        <f>Proj_Inputs!$B$47+(Proj_Inputs!$C$47-Proj_Inputs!$B$47)*G100</f>
        <v>8.0865499999999993E-2</v>
      </c>
      <c r="N100" s="231">
        <f>(1+H100)*(Proj_Inputs!$B$20+J100)/Proj_Inputs!$B$20*((Proj_Inputs!$B$21+I100)*(1-Proj_Inputs!$B$24)*NPV_Pirelli!$B$47+NPV_Pirelli!$B$49)+(1+K100)*NPV_Pirelli!$B$48</f>
        <v>159.2027033048048</v>
      </c>
      <c r="O100" s="231">
        <f>(1+H100)*(Proj_Inputs!$C$20+L100)/Proj_Inputs!$C$20*((Proj_Inputs!$C$21+I100)*(1-Proj_Inputs!$C$24)*NPV_Hankook!$B$47+NPV_Hankook!$B$49)+(1+M100)*NPV_Hankook!$B$48</f>
        <v>-456.60651959098323</v>
      </c>
    </row>
    <row r="101" spans="1:15" x14ac:dyDescent="0.2">
      <c r="A101" s="228">
        <v>77</v>
      </c>
      <c r="B101" s="229">
        <v>0.55869800000000003</v>
      </c>
      <c r="C101" s="229">
        <v>0.108112</v>
      </c>
      <c r="D101" s="229">
        <v>0.25277100000000002</v>
      </c>
      <c r="E101" s="229">
        <v>1.2818E-2</v>
      </c>
      <c r="F101" s="229">
        <v>0.81113400000000002</v>
      </c>
      <c r="G101" s="229">
        <v>0.50791699999999995</v>
      </c>
      <c r="H101" s="230">
        <f>Proj_Inputs!$B$44+(Proj_Inputs!$C$44-Proj_Inputs!$B$44)*B101</f>
        <v>1.1739600000000003E-2</v>
      </c>
      <c r="I101" s="230">
        <f>Proj_Inputs!$B$45+(Proj_Inputs!$C$45-Proj_Inputs!$B$45)*C101</f>
        <v>-3.1351039999999997E-2</v>
      </c>
      <c r="J101" s="230">
        <f>Proj_Inputs!$B$46+(Proj_Inputs!$C$46-Proj_Inputs!$B$46)*D101</f>
        <v>-9.9445799999999987E-2</v>
      </c>
      <c r="K101" s="230">
        <f>Proj_Inputs!$B$47+(Proj_Inputs!$C$47-Proj_Inputs!$B$47)*E101</f>
        <v>-4.6795500000000004E-2</v>
      </c>
      <c r="L101" s="230">
        <f>Proj_Inputs!$B$46+(Proj_Inputs!$C$46-Proj_Inputs!$B$46)*F101</f>
        <v>1.222680000000001E-2</v>
      </c>
      <c r="M101" s="230">
        <f>Proj_Inputs!$B$47+(Proj_Inputs!$C$47-Proj_Inputs!$B$47)*G101</f>
        <v>7.6979249999999985E-2</v>
      </c>
      <c r="N101" s="231">
        <f>(1+H101)*(Proj_Inputs!$B$20+J101)/Proj_Inputs!$B$20*((Proj_Inputs!$B$21+I101)*(1-Proj_Inputs!$B$24)*NPV_Pirelli!$B$47+NPV_Pirelli!$B$49)+(1+K101)*NPV_Pirelli!$B$48</f>
        <v>148.24348069140149</v>
      </c>
      <c r="O101" s="231">
        <f>(1+H101)*(Proj_Inputs!$C$20+L101)/Proj_Inputs!$C$20*((Proj_Inputs!$C$21+I101)*(1-Proj_Inputs!$C$24)*NPV_Hankook!$B$47+NPV_Hankook!$B$49)+(1+M101)*NPV_Hankook!$B$48</f>
        <v>-372.26213098042638</v>
      </c>
    </row>
    <row r="102" spans="1:15" x14ac:dyDescent="0.2">
      <c r="A102" s="228">
        <v>78</v>
      </c>
      <c r="B102" s="229">
        <v>0.537798</v>
      </c>
      <c r="C102" s="229">
        <v>0.44531900000000002</v>
      </c>
      <c r="D102" s="229">
        <v>0.75279200000000002</v>
      </c>
      <c r="E102" s="229">
        <v>0.78236799999999995</v>
      </c>
      <c r="F102" s="229">
        <v>0.67627899999999996</v>
      </c>
      <c r="G102" s="229">
        <v>0.1419</v>
      </c>
      <c r="H102" s="230">
        <f>Proj_Inputs!$B$44+(Proj_Inputs!$C$44-Proj_Inputs!$B$44)*B102</f>
        <v>7.5595999999999997E-3</v>
      </c>
      <c r="I102" s="230">
        <f>Proj_Inputs!$B$45+(Proj_Inputs!$C$45-Proj_Inputs!$B$45)*C102</f>
        <v>-4.37448E-3</v>
      </c>
      <c r="J102" s="230">
        <f>Proj_Inputs!$B$46+(Proj_Inputs!$C$46-Proj_Inputs!$B$46)*D102</f>
        <v>5.5840000000001444E-4</v>
      </c>
      <c r="K102" s="230">
        <f>Proj_Inputs!$B$47+(Proj_Inputs!$C$47-Proj_Inputs!$B$47)*E102</f>
        <v>0.145592</v>
      </c>
      <c r="L102" s="230">
        <f>Proj_Inputs!$B$46+(Proj_Inputs!$C$46-Proj_Inputs!$B$46)*F102</f>
        <v>-1.4744199999999985E-2</v>
      </c>
      <c r="M102" s="230">
        <f>Proj_Inputs!$B$47+(Proj_Inputs!$C$47-Proj_Inputs!$B$47)*G102</f>
        <v>-1.4525000000000003E-2</v>
      </c>
      <c r="N102" s="231">
        <f>(1+H102)*(Proj_Inputs!$B$20+J102)/Proj_Inputs!$B$20*((Proj_Inputs!$B$21+I102)*(1-Proj_Inputs!$B$24)*NPV_Pirelli!$B$47+NPV_Pirelli!$B$49)+(1+K102)*NPV_Pirelli!$B$48</f>
        <v>273.03083456178615</v>
      </c>
      <c r="O102" s="231">
        <f>(1+H102)*(Proj_Inputs!$C$20+L102)/Proj_Inputs!$C$20*((Proj_Inputs!$C$21+I102)*(1-Proj_Inputs!$C$24)*NPV_Hankook!$B$47+NPV_Hankook!$B$49)+(1+M102)*NPV_Hankook!$B$48</f>
        <v>-112.15988393170369</v>
      </c>
    </row>
    <row r="103" spans="1:15" x14ac:dyDescent="0.2">
      <c r="A103" s="228">
        <v>79</v>
      </c>
      <c r="B103" s="229">
        <v>0.86748999999999998</v>
      </c>
      <c r="C103" s="229">
        <v>0.26636599999999999</v>
      </c>
      <c r="D103" s="229">
        <v>3.0409999999999999E-3</v>
      </c>
      <c r="E103" s="229">
        <v>0.90962100000000001</v>
      </c>
      <c r="F103" s="229">
        <v>0.24227799999999999</v>
      </c>
      <c r="G103" s="229">
        <v>0.43871199999999999</v>
      </c>
      <c r="H103" s="230">
        <f>Proj_Inputs!$B$44+(Proj_Inputs!$C$44-Proj_Inputs!$B$44)*B103</f>
        <v>7.3498000000000008E-2</v>
      </c>
      <c r="I103" s="230">
        <f>Proj_Inputs!$B$45+(Proj_Inputs!$C$45-Proj_Inputs!$B$45)*C103</f>
        <v>-1.8690720000000001E-2</v>
      </c>
      <c r="J103" s="230">
        <f>Proj_Inputs!$B$46+(Proj_Inputs!$C$46-Proj_Inputs!$B$46)*D103</f>
        <v>-0.14939179999999999</v>
      </c>
      <c r="K103" s="230">
        <f>Proj_Inputs!$B$47+(Proj_Inputs!$C$47-Proj_Inputs!$B$47)*E103</f>
        <v>0.17740525000000001</v>
      </c>
      <c r="L103" s="230">
        <f>Proj_Inputs!$B$46+(Proj_Inputs!$C$46-Proj_Inputs!$B$46)*F103</f>
        <v>-0.10154439999999999</v>
      </c>
      <c r="M103" s="230">
        <f>Proj_Inputs!$B$47+(Proj_Inputs!$C$47-Proj_Inputs!$B$47)*G103</f>
        <v>5.9677999999999995E-2</v>
      </c>
      <c r="N103" s="231">
        <f>(1+H103)*(Proj_Inputs!$B$20+J103)/Proj_Inputs!$B$20*((Proj_Inputs!$B$21+I103)*(1-Proj_Inputs!$B$24)*NPV_Pirelli!$B$47+NPV_Pirelli!$B$49)+(1+K103)*NPV_Pirelli!$B$48</f>
        <v>36.97595288014611</v>
      </c>
      <c r="O103" s="231">
        <f>(1+H103)*(Proj_Inputs!$C$20+L103)/Proj_Inputs!$C$20*((Proj_Inputs!$C$21+I103)*(1-Proj_Inputs!$C$24)*NPV_Hankook!$B$47+NPV_Hankook!$B$49)+(1+M103)*NPV_Hankook!$B$48</f>
        <v>-332.28094618294494</v>
      </c>
    </row>
    <row r="104" spans="1:15" x14ac:dyDescent="0.2">
      <c r="A104" s="228">
        <v>80</v>
      </c>
      <c r="B104" s="229">
        <v>0.14526700000000001</v>
      </c>
      <c r="C104" s="229">
        <v>0.336229</v>
      </c>
      <c r="D104" s="229">
        <v>0.58981399999999995</v>
      </c>
      <c r="E104" s="229">
        <v>0.122276</v>
      </c>
      <c r="F104" s="229">
        <v>8.0260999999999999E-2</v>
      </c>
      <c r="G104" s="229">
        <v>0.72365199999999996</v>
      </c>
      <c r="H104" s="230">
        <f>Proj_Inputs!$B$44+(Proj_Inputs!$C$44-Proj_Inputs!$B$44)*B104</f>
        <v>-7.0946599999999999E-2</v>
      </c>
      <c r="I104" s="230">
        <f>Proj_Inputs!$B$45+(Proj_Inputs!$C$45-Proj_Inputs!$B$45)*C104</f>
        <v>-1.3101680000000001E-2</v>
      </c>
      <c r="J104" s="230">
        <f>Proj_Inputs!$B$46+(Proj_Inputs!$C$46-Proj_Inputs!$B$46)*D104</f>
        <v>-3.2037200000000002E-2</v>
      </c>
      <c r="K104" s="230">
        <f>Proj_Inputs!$B$47+(Proj_Inputs!$C$47-Proj_Inputs!$B$47)*E104</f>
        <v>-1.9431000000000004E-2</v>
      </c>
      <c r="L104" s="230">
        <f>Proj_Inputs!$B$46+(Proj_Inputs!$C$46-Proj_Inputs!$B$46)*F104</f>
        <v>-0.13394780000000001</v>
      </c>
      <c r="M104" s="230">
        <f>Proj_Inputs!$B$47+(Proj_Inputs!$C$47-Proj_Inputs!$B$47)*G104</f>
        <v>0.130913</v>
      </c>
      <c r="N104" s="231">
        <f>(1+H104)*(Proj_Inputs!$B$20+J104)/Proj_Inputs!$B$20*((Proj_Inputs!$B$21+I104)*(1-Proj_Inputs!$B$24)*NPV_Pirelli!$B$47+NPV_Pirelli!$B$49)+(1+K104)*NPV_Pirelli!$B$48</f>
        <v>223.85753158263708</v>
      </c>
      <c r="O104" s="231">
        <f>(1+H104)*(Proj_Inputs!$C$20+L104)/Proj_Inputs!$C$20*((Proj_Inputs!$C$21+I104)*(1-Proj_Inputs!$C$24)*NPV_Hankook!$B$47+NPV_Hankook!$B$49)+(1+M104)*NPV_Hankook!$B$48</f>
        <v>-537.64581270421957</v>
      </c>
    </row>
    <row r="105" spans="1:15" x14ac:dyDescent="0.2">
      <c r="A105" s="228">
        <v>81</v>
      </c>
      <c r="B105" s="229">
        <v>0.22925300000000001</v>
      </c>
      <c r="C105" s="229">
        <v>0.75696600000000003</v>
      </c>
      <c r="D105" s="229">
        <v>0.89613200000000004</v>
      </c>
      <c r="E105" s="229">
        <v>0.161631</v>
      </c>
      <c r="F105" s="229">
        <v>0.46678399999999998</v>
      </c>
      <c r="G105" s="229">
        <v>0.88014999999999999</v>
      </c>
      <c r="H105" s="230">
        <f>Proj_Inputs!$B$44+(Proj_Inputs!$C$44-Proj_Inputs!$B$44)*B105</f>
        <v>-5.41494E-2</v>
      </c>
      <c r="I105" s="230">
        <f>Proj_Inputs!$B$45+(Proj_Inputs!$C$45-Proj_Inputs!$B$45)*C105</f>
        <v>2.0557280000000004E-2</v>
      </c>
      <c r="J105" s="230">
        <f>Proj_Inputs!$B$46+(Proj_Inputs!$C$46-Proj_Inputs!$B$46)*D105</f>
        <v>2.9226400000000013E-2</v>
      </c>
      <c r="K105" s="230">
        <f>Proj_Inputs!$B$47+(Proj_Inputs!$C$47-Proj_Inputs!$B$47)*E105</f>
        <v>-9.5922500000000036E-3</v>
      </c>
      <c r="L105" s="230">
        <f>Proj_Inputs!$B$46+(Proj_Inputs!$C$46-Proj_Inputs!$B$46)*F105</f>
        <v>-5.6643199999999991E-2</v>
      </c>
      <c r="M105" s="230">
        <f>Proj_Inputs!$B$47+(Proj_Inputs!$C$47-Proj_Inputs!$B$47)*G105</f>
        <v>0.17003750000000001</v>
      </c>
      <c r="N105" s="231">
        <f>(1+H105)*(Proj_Inputs!$B$20+J105)/Proj_Inputs!$B$20*((Proj_Inputs!$B$21+I105)*(1-Proj_Inputs!$B$24)*NPV_Pirelli!$B$47+NPV_Pirelli!$B$49)+(1+K105)*NPV_Pirelli!$B$48</f>
        <v>509.1014792912423</v>
      </c>
      <c r="O105" s="231">
        <f>(1+H105)*(Proj_Inputs!$C$20+L105)/Proj_Inputs!$C$20*((Proj_Inputs!$C$21+I105)*(1-Proj_Inputs!$C$24)*NPV_Hankook!$B$47+NPV_Hankook!$B$49)+(1+M105)*NPV_Hankook!$B$48</f>
        <v>-284.72082151142513</v>
      </c>
    </row>
    <row r="106" spans="1:15" x14ac:dyDescent="0.2">
      <c r="A106" s="228">
        <v>82</v>
      </c>
      <c r="B106" s="229">
        <v>0.19797899999999999</v>
      </c>
      <c r="C106" s="229">
        <v>0.471003</v>
      </c>
      <c r="D106" s="229">
        <v>0.40859600000000001</v>
      </c>
      <c r="E106" s="229">
        <v>0.621699</v>
      </c>
      <c r="F106" s="229">
        <v>7.8358999999999998E-2</v>
      </c>
      <c r="G106" s="229">
        <v>0.65377200000000002</v>
      </c>
      <c r="H106" s="230">
        <f>Proj_Inputs!$B$44+(Proj_Inputs!$C$44-Proj_Inputs!$B$44)*B106</f>
        <v>-6.0404200000000005E-2</v>
      </c>
      <c r="I106" s="230">
        <f>Proj_Inputs!$B$45+(Proj_Inputs!$C$45-Proj_Inputs!$B$45)*C106</f>
        <v>-2.3197599999999971E-3</v>
      </c>
      <c r="J106" s="230">
        <f>Proj_Inputs!$B$46+(Proj_Inputs!$C$46-Proj_Inputs!$B$46)*D106</f>
        <v>-6.8280799999999989E-2</v>
      </c>
      <c r="K106" s="230">
        <f>Proj_Inputs!$B$47+(Proj_Inputs!$C$47-Proj_Inputs!$B$47)*E106</f>
        <v>0.10542475</v>
      </c>
      <c r="L106" s="230">
        <f>Proj_Inputs!$B$46+(Proj_Inputs!$C$46-Proj_Inputs!$B$46)*F106</f>
        <v>-0.13432820000000001</v>
      </c>
      <c r="M106" s="230">
        <f>Proj_Inputs!$B$47+(Proj_Inputs!$C$47-Proj_Inputs!$B$47)*G106</f>
        <v>0.113443</v>
      </c>
      <c r="N106" s="231">
        <f>(1+H106)*(Proj_Inputs!$B$20+J106)/Proj_Inputs!$B$20*((Proj_Inputs!$B$21+I106)*(1-Proj_Inputs!$B$24)*NPV_Pirelli!$B$47+NPV_Pirelli!$B$49)+(1+K106)*NPV_Pirelli!$B$48</f>
        <v>152.55568882393311</v>
      </c>
      <c r="O106" s="231">
        <f>(1+H106)*(Proj_Inputs!$C$20+L106)/Proj_Inputs!$C$20*((Proj_Inputs!$C$21+I106)*(1-Proj_Inputs!$C$24)*NPV_Hankook!$B$47+NPV_Hankook!$B$49)+(1+M106)*NPV_Hankook!$B$48</f>
        <v>-449.8208682655586</v>
      </c>
    </row>
    <row r="107" spans="1:15" x14ac:dyDescent="0.2">
      <c r="A107" s="228">
        <v>83</v>
      </c>
      <c r="B107" s="229">
        <v>0.75851400000000002</v>
      </c>
      <c r="C107" s="229">
        <v>0.75244200000000006</v>
      </c>
      <c r="D107" s="229">
        <v>0.52220699999999998</v>
      </c>
      <c r="E107" s="229">
        <v>0.82373399999999997</v>
      </c>
      <c r="F107" s="229">
        <v>0.88941000000000003</v>
      </c>
      <c r="G107" s="229">
        <v>0.63273199999999996</v>
      </c>
      <c r="H107" s="230">
        <f>Proj_Inputs!$B$44+(Proj_Inputs!$C$44-Proj_Inputs!$B$44)*B107</f>
        <v>5.1702800000000021E-2</v>
      </c>
      <c r="I107" s="230">
        <f>Proj_Inputs!$B$45+(Proj_Inputs!$C$45-Proj_Inputs!$B$45)*C107</f>
        <v>2.0195360000000002E-2</v>
      </c>
      <c r="J107" s="230">
        <f>Proj_Inputs!$B$46+(Proj_Inputs!$C$46-Proj_Inputs!$B$46)*D107</f>
        <v>-4.5558599999999991E-2</v>
      </c>
      <c r="K107" s="230">
        <f>Proj_Inputs!$B$47+(Proj_Inputs!$C$47-Proj_Inputs!$B$47)*E107</f>
        <v>0.1559335</v>
      </c>
      <c r="L107" s="230">
        <f>Proj_Inputs!$B$46+(Proj_Inputs!$C$46-Proj_Inputs!$B$46)*F107</f>
        <v>2.7882000000000018E-2</v>
      </c>
      <c r="M107" s="230">
        <f>Proj_Inputs!$B$47+(Proj_Inputs!$C$47-Proj_Inputs!$B$47)*G107</f>
        <v>0.10818299999999999</v>
      </c>
      <c r="N107" s="231">
        <f>(1+H107)*(Proj_Inputs!$B$20+J107)/Proj_Inputs!$B$20*((Proj_Inputs!$B$21+I107)*(1-Proj_Inputs!$B$24)*NPV_Pirelli!$B$47+NPV_Pirelli!$B$49)+(1+K107)*NPV_Pirelli!$B$48</f>
        <v>405.29902947251389</v>
      </c>
      <c r="O107" s="231">
        <f>(1+H107)*(Proj_Inputs!$C$20+L107)/Proj_Inputs!$C$20*((Proj_Inputs!$C$21+I107)*(1-Proj_Inputs!$C$24)*NPV_Hankook!$B$47+NPV_Hankook!$B$49)+(1+M107)*NPV_Hankook!$B$48</f>
        <v>24.961317294255196</v>
      </c>
    </row>
    <row r="108" spans="1:15" x14ac:dyDescent="0.2">
      <c r="A108" s="228">
        <v>84</v>
      </c>
      <c r="B108" s="229">
        <v>0.70650400000000002</v>
      </c>
      <c r="C108" s="229">
        <v>0.24246899999999999</v>
      </c>
      <c r="D108" s="229">
        <v>0.74163999999999997</v>
      </c>
      <c r="E108" s="229">
        <v>0.155144</v>
      </c>
      <c r="F108" s="229">
        <v>1.9900999999999999E-2</v>
      </c>
      <c r="G108" s="229">
        <v>0.961287</v>
      </c>
      <c r="H108" s="230">
        <f>Proj_Inputs!$B$44+(Proj_Inputs!$C$44-Proj_Inputs!$B$44)*B108</f>
        <v>4.1300799999999999E-2</v>
      </c>
      <c r="I108" s="230">
        <f>Proj_Inputs!$B$45+(Proj_Inputs!$C$45-Proj_Inputs!$B$45)*C108</f>
        <v>-2.0602480000000003E-2</v>
      </c>
      <c r="J108" s="230">
        <f>Proj_Inputs!$B$46+(Proj_Inputs!$C$46-Proj_Inputs!$B$46)*D108</f>
        <v>-1.6720000000000068E-3</v>
      </c>
      <c r="K108" s="230">
        <f>Proj_Inputs!$B$47+(Proj_Inputs!$C$47-Proj_Inputs!$B$47)*E108</f>
        <v>-1.1214000000000002E-2</v>
      </c>
      <c r="L108" s="230">
        <f>Proj_Inputs!$B$46+(Proj_Inputs!$C$46-Proj_Inputs!$B$46)*F108</f>
        <v>-0.14601980000000001</v>
      </c>
      <c r="M108" s="230">
        <f>Proj_Inputs!$B$47+(Proj_Inputs!$C$47-Proj_Inputs!$B$47)*G108</f>
        <v>0.19032175000000001</v>
      </c>
      <c r="N108" s="231">
        <f>(1+H108)*(Proj_Inputs!$B$20+J108)/Proj_Inputs!$B$20*((Proj_Inputs!$B$21+I108)*(1-Proj_Inputs!$B$24)*NPV_Pirelli!$B$47+NPV_Pirelli!$B$49)+(1+K108)*NPV_Pirelli!$B$48</f>
        <v>328.68403681353504</v>
      </c>
      <c r="O108" s="231">
        <f>(1+H108)*(Proj_Inputs!$C$20+L108)/Proj_Inputs!$C$20*((Proj_Inputs!$C$21+I108)*(1-Proj_Inputs!$C$24)*NPV_Hankook!$B$47+NPV_Hankook!$B$49)+(1+M108)*NPV_Hankook!$B$48</f>
        <v>-571.34838121484586</v>
      </c>
    </row>
    <row r="109" spans="1:15" x14ac:dyDescent="0.2">
      <c r="A109" s="228">
        <v>85</v>
      </c>
      <c r="B109" s="229">
        <v>0.72537799999999997</v>
      </c>
      <c r="C109" s="229">
        <v>0.27559899999999998</v>
      </c>
      <c r="D109" s="229">
        <v>0.67942499999999995</v>
      </c>
      <c r="E109" s="229">
        <v>0.83445599999999998</v>
      </c>
      <c r="F109" s="229">
        <v>0.68281599999999998</v>
      </c>
      <c r="G109" s="229">
        <v>0.39879399999999998</v>
      </c>
      <c r="H109" s="230">
        <f>Proj_Inputs!$B$44+(Proj_Inputs!$C$44-Proj_Inputs!$B$44)*B109</f>
        <v>4.5075599999999993E-2</v>
      </c>
      <c r="I109" s="230">
        <f>Proj_Inputs!$B$45+(Proj_Inputs!$C$45-Proj_Inputs!$B$45)*C109</f>
        <v>-1.7952080000000002E-2</v>
      </c>
      <c r="J109" s="230">
        <f>Proj_Inputs!$B$46+(Proj_Inputs!$C$46-Proj_Inputs!$B$46)*D109</f>
        <v>-1.4114999999999989E-2</v>
      </c>
      <c r="K109" s="230">
        <f>Proj_Inputs!$B$47+(Proj_Inputs!$C$47-Proj_Inputs!$B$47)*E109</f>
        <v>0.15861399999999998</v>
      </c>
      <c r="L109" s="230">
        <f>Proj_Inputs!$B$46+(Proj_Inputs!$C$46-Proj_Inputs!$B$46)*F109</f>
        <v>-1.3436799999999999E-2</v>
      </c>
      <c r="M109" s="230">
        <f>Proj_Inputs!$B$47+(Proj_Inputs!$C$47-Proj_Inputs!$B$47)*G109</f>
        <v>4.9698499999999993E-2</v>
      </c>
      <c r="N109" s="231">
        <f>(1+H109)*(Proj_Inputs!$B$20+J109)/Proj_Inputs!$B$20*((Proj_Inputs!$B$21+I109)*(1-Proj_Inputs!$B$24)*NPV_Pirelli!$B$47+NPV_Pirelli!$B$49)+(1+K109)*NPV_Pirelli!$B$48</f>
        <v>200.27826049377302</v>
      </c>
      <c r="O109" s="231">
        <f>(1+H109)*(Proj_Inputs!$C$20+L109)/Proj_Inputs!$C$20*((Proj_Inputs!$C$21+I109)*(1-Proj_Inputs!$C$24)*NPV_Hankook!$B$47+NPV_Hankook!$B$49)+(1+M109)*NPV_Hankook!$B$48</f>
        <v>-242.56953400266468</v>
      </c>
    </row>
    <row r="110" spans="1:15" x14ac:dyDescent="0.2">
      <c r="A110" s="228">
        <v>86</v>
      </c>
      <c r="B110" s="229">
        <v>0.68074400000000002</v>
      </c>
      <c r="C110" s="229">
        <v>0.38555499999999998</v>
      </c>
      <c r="D110" s="229">
        <v>0.44481399999999999</v>
      </c>
      <c r="E110" s="229">
        <v>0.57201000000000002</v>
      </c>
      <c r="F110" s="229">
        <v>0.11808399999999999</v>
      </c>
      <c r="G110" s="229">
        <v>0.27009300000000003</v>
      </c>
      <c r="H110" s="230">
        <f>Proj_Inputs!$B$44+(Proj_Inputs!$C$44-Proj_Inputs!$B$44)*B110</f>
        <v>3.6148800000000009E-2</v>
      </c>
      <c r="I110" s="230">
        <f>Proj_Inputs!$B$45+(Proj_Inputs!$C$45-Proj_Inputs!$B$45)*C110</f>
        <v>-9.1556000000000033E-3</v>
      </c>
      <c r="J110" s="230">
        <f>Proj_Inputs!$B$46+(Proj_Inputs!$C$46-Proj_Inputs!$B$46)*D110</f>
        <v>-6.1037199999999986E-2</v>
      </c>
      <c r="K110" s="230">
        <f>Proj_Inputs!$B$47+(Proj_Inputs!$C$47-Proj_Inputs!$B$47)*E110</f>
        <v>9.3002500000000002E-2</v>
      </c>
      <c r="L110" s="230">
        <f>Proj_Inputs!$B$46+(Proj_Inputs!$C$46-Proj_Inputs!$B$46)*F110</f>
        <v>-0.1263832</v>
      </c>
      <c r="M110" s="230">
        <f>Proj_Inputs!$B$47+(Proj_Inputs!$C$47-Proj_Inputs!$B$47)*G110</f>
        <v>1.7523250000000004E-2</v>
      </c>
      <c r="N110" s="231">
        <f>(1+H110)*(Proj_Inputs!$B$20+J110)/Proj_Inputs!$B$20*((Proj_Inputs!$B$21+I110)*(1-Proj_Inputs!$B$24)*NPV_Pirelli!$B$47+NPV_Pirelli!$B$49)+(1+K110)*NPV_Pirelli!$B$48</f>
        <v>236.56678075819548</v>
      </c>
      <c r="O110" s="231">
        <f>(1+H110)*(Proj_Inputs!$C$20+L110)/Proj_Inputs!$C$20*((Proj_Inputs!$C$21+I110)*(1-Proj_Inputs!$C$24)*NPV_Hankook!$B$47+NPV_Hankook!$B$49)+(1+M110)*NPV_Hankook!$B$48</f>
        <v>-283.40756819935723</v>
      </c>
    </row>
    <row r="111" spans="1:15" x14ac:dyDescent="0.2">
      <c r="A111" s="228">
        <v>87</v>
      </c>
      <c r="B111" s="229">
        <v>0.26175900000000002</v>
      </c>
      <c r="C111" s="229">
        <v>0.14704700000000001</v>
      </c>
      <c r="D111" s="229">
        <v>0.117604</v>
      </c>
      <c r="E111" s="229">
        <v>0.66661800000000004</v>
      </c>
      <c r="F111" s="229">
        <v>8.1347000000000003E-2</v>
      </c>
      <c r="G111" s="229">
        <v>0.49359900000000001</v>
      </c>
      <c r="H111" s="230">
        <f>Proj_Inputs!$B$44+(Proj_Inputs!$C$44-Proj_Inputs!$B$44)*B111</f>
        <v>-4.7648200000000002E-2</v>
      </c>
      <c r="I111" s="230">
        <f>Proj_Inputs!$B$45+(Proj_Inputs!$C$45-Proj_Inputs!$B$45)*C111</f>
        <v>-2.8236239999999999E-2</v>
      </c>
      <c r="J111" s="230">
        <f>Proj_Inputs!$B$46+(Proj_Inputs!$C$46-Proj_Inputs!$B$46)*D111</f>
        <v>-0.12647919999999999</v>
      </c>
      <c r="K111" s="230">
        <f>Proj_Inputs!$B$47+(Proj_Inputs!$C$47-Proj_Inputs!$B$47)*E111</f>
        <v>0.11665450000000001</v>
      </c>
      <c r="L111" s="230">
        <f>Proj_Inputs!$B$46+(Proj_Inputs!$C$46-Proj_Inputs!$B$46)*F111</f>
        <v>-0.13373060000000001</v>
      </c>
      <c r="M111" s="230">
        <f>Proj_Inputs!$B$47+(Proj_Inputs!$C$47-Proj_Inputs!$B$47)*G111</f>
        <v>7.339975E-2</v>
      </c>
      <c r="N111" s="231">
        <f>(1+H111)*(Proj_Inputs!$B$20+J111)/Proj_Inputs!$B$20*((Proj_Inputs!$B$21+I111)*(1-Proj_Inputs!$B$24)*NPV_Pirelli!$B$47+NPV_Pirelli!$B$49)+(1+K111)*NPV_Pirelli!$B$48</f>
        <v>-46.24975472717199</v>
      </c>
      <c r="O111" s="231">
        <f>(1+H111)*(Proj_Inputs!$C$20+L111)/Proj_Inputs!$C$20*((Proj_Inputs!$C$21+I111)*(1-Proj_Inputs!$C$24)*NPV_Hankook!$B$47+NPV_Hankook!$B$49)+(1+M111)*NPV_Hankook!$B$48</f>
        <v>-535.10535424590614</v>
      </c>
    </row>
    <row r="112" spans="1:15" x14ac:dyDescent="0.2">
      <c r="A112" s="228">
        <v>88</v>
      </c>
      <c r="B112" s="229">
        <v>0.58054799999999995</v>
      </c>
      <c r="C112" s="229">
        <v>0.12556100000000001</v>
      </c>
      <c r="D112" s="229">
        <v>0.14047999999999999</v>
      </c>
      <c r="E112" s="229">
        <v>0.46040300000000001</v>
      </c>
      <c r="F112" s="229">
        <v>0.60725099999999999</v>
      </c>
      <c r="G112" s="229">
        <v>0.399003</v>
      </c>
      <c r="H112" s="230">
        <f>Proj_Inputs!$B$44+(Proj_Inputs!$C$44-Proj_Inputs!$B$44)*B112</f>
        <v>1.6109599999999988E-2</v>
      </c>
      <c r="I112" s="230">
        <f>Proj_Inputs!$B$45+(Proj_Inputs!$C$45-Proj_Inputs!$B$45)*C112</f>
        <v>-2.9955120000000002E-2</v>
      </c>
      <c r="J112" s="230">
        <f>Proj_Inputs!$B$46+(Proj_Inputs!$C$46-Proj_Inputs!$B$46)*D112</f>
        <v>-0.121904</v>
      </c>
      <c r="K112" s="230">
        <f>Proj_Inputs!$B$47+(Proj_Inputs!$C$47-Proj_Inputs!$B$47)*E112</f>
        <v>6.5100749999999999E-2</v>
      </c>
      <c r="L112" s="230">
        <f>Proj_Inputs!$B$46+(Proj_Inputs!$C$46-Proj_Inputs!$B$46)*F112</f>
        <v>-2.8549799999999986E-2</v>
      </c>
      <c r="M112" s="230">
        <f>Proj_Inputs!$B$47+(Proj_Inputs!$C$47-Proj_Inputs!$B$47)*G112</f>
        <v>4.9750749999999996E-2</v>
      </c>
      <c r="N112" s="231">
        <f>(1+H112)*(Proj_Inputs!$B$20+J112)/Proj_Inputs!$B$20*((Proj_Inputs!$B$21+I112)*(1-Proj_Inputs!$B$24)*NPV_Pirelli!$B$47+NPV_Pirelli!$B$49)+(1+K112)*NPV_Pirelli!$B$48</f>
        <v>46.153687781020267</v>
      </c>
      <c r="O112" s="231">
        <f>(1+H112)*(Proj_Inputs!$C$20+L112)/Proj_Inputs!$C$20*((Proj_Inputs!$C$21+I112)*(1-Proj_Inputs!$C$24)*NPV_Hankook!$B$47+NPV_Hankook!$B$49)+(1+M112)*NPV_Hankook!$B$48</f>
        <v>-366.90393018682653</v>
      </c>
    </row>
    <row r="113" spans="1:15" x14ac:dyDescent="0.2">
      <c r="A113" s="228">
        <v>89</v>
      </c>
      <c r="B113" s="229">
        <v>0.72058500000000003</v>
      </c>
      <c r="C113" s="229">
        <v>0.56428800000000001</v>
      </c>
      <c r="D113" s="229">
        <v>0.40968700000000002</v>
      </c>
      <c r="E113" s="229">
        <v>0.43783100000000003</v>
      </c>
      <c r="F113" s="229">
        <v>0.89837</v>
      </c>
      <c r="G113" s="229">
        <v>0.32248199999999999</v>
      </c>
      <c r="H113" s="230">
        <f>Proj_Inputs!$B$44+(Proj_Inputs!$C$44-Proj_Inputs!$B$44)*B113</f>
        <v>4.4117000000000017E-2</v>
      </c>
      <c r="I113" s="230">
        <f>Proj_Inputs!$B$45+(Proj_Inputs!$C$45-Proj_Inputs!$B$45)*C113</f>
        <v>5.1430400000000015E-3</v>
      </c>
      <c r="J113" s="230">
        <f>Proj_Inputs!$B$46+(Proj_Inputs!$C$46-Proj_Inputs!$B$46)*D113</f>
        <v>-6.8062599999999987E-2</v>
      </c>
      <c r="K113" s="230">
        <f>Proj_Inputs!$B$47+(Proj_Inputs!$C$47-Proj_Inputs!$B$47)*E113</f>
        <v>5.9457750000000004E-2</v>
      </c>
      <c r="L113" s="230">
        <f>Proj_Inputs!$B$46+(Proj_Inputs!$C$46-Proj_Inputs!$B$46)*F113</f>
        <v>2.9674000000000006E-2</v>
      </c>
      <c r="M113" s="230">
        <f>Proj_Inputs!$B$47+(Proj_Inputs!$C$47-Proj_Inputs!$B$47)*G113</f>
        <v>3.0620499999999995E-2</v>
      </c>
      <c r="N113" s="231">
        <f>(1+H113)*(Proj_Inputs!$B$20+J113)/Proj_Inputs!$B$20*((Proj_Inputs!$B$21+I113)*(1-Proj_Inputs!$B$24)*NPV_Pirelli!$B$47+NPV_Pirelli!$B$49)+(1+K113)*NPV_Pirelli!$B$48</f>
        <v>347.5619935770103</v>
      </c>
      <c r="O113" s="231">
        <f>(1+H113)*(Proj_Inputs!$C$20+L113)/Proj_Inputs!$C$20*((Proj_Inputs!$C$21+I113)*(1-Proj_Inputs!$C$24)*NPV_Hankook!$B$47+NPV_Hankook!$B$49)+(1+M113)*NPV_Hankook!$B$48</f>
        <v>-3.0269834030225411</v>
      </c>
    </row>
    <row r="114" spans="1:15" x14ac:dyDescent="0.2">
      <c r="A114" s="228">
        <v>90</v>
      </c>
      <c r="B114" s="229">
        <v>0.57333299999999998</v>
      </c>
      <c r="C114" s="229">
        <v>0.84207100000000001</v>
      </c>
      <c r="D114" s="229">
        <v>0.52409799999999995</v>
      </c>
      <c r="E114" s="229">
        <v>0.84033000000000002</v>
      </c>
      <c r="F114" s="229">
        <v>0.97612399999999999</v>
      </c>
      <c r="G114" s="229">
        <v>0.61348400000000003</v>
      </c>
      <c r="H114" s="230">
        <f>Proj_Inputs!$B$44+(Proj_Inputs!$C$44-Proj_Inputs!$B$44)*B114</f>
        <v>1.4666600000000002E-2</v>
      </c>
      <c r="I114" s="230">
        <f>Proj_Inputs!$B$45+(Proj_Inputs!$C$45-Proj_Inputs!$B$45)*C114</f>
        <v>2.7365679999999996E-2</v>
      </c>
      <c r="J114" s="230">
        <f>Proj_Inputs!$B$46+(Proj_Inputs!$C$46-Proj_Inputs!$B$46)*D114</f>
        <v>-4.5180399999999996E-2</v>
      </c>
      <c r="K114" s="230">
        <f>Proj_Inputs!$B$47+(Proj_Inputs!$C$47-Proj_Inputs!$B$47)*E114</f>
        <v>0.16008250000000002</v>
      </c>
      <c r="L114" s="230">
        <f>Proj_Inputs!$B$46+(Proj_Inputs!$C$46-Proj_Inputs!$B$46)*F114</f>
        <v>4.5224800000000009E-2</v>
      </c>
      <c r="M114" s="230">
        <f>Proj_Inputs!$B$47+(Proj_Inputs!$C$47-Proj_Inputs!$B$47)*G114</f>
        <v>0.103371</v>
      </c>
      <c r="N114" s="231">
        <f>(1+H114)*(Proj_Inputs!$B$20+J114)/Proj_Inputs!$B$20*((Proj_Inputs!$B$21+I114)*(1-Proj_Inputs!$B$24)*NPV_Pirelli!$B$47+NPV_Pirelli!$B$49)+(1+K114)*NPV_Pirelli!$B$48</f>
        <v>398.97457134187107</v>
      </c>
      <c r="O114" s="231">
        <f>(1+H114)*(Proj_Inputs!$C$20+L114)/Proj_Inputs!$C$20*((Proj_Inputs!$C$21+I114)*(1-Proj_Inputs!$C$24)*NPV_Hankook!$B$47+NPV_Hankook!$B$49)+(1+M114)*NPV_Hankook!$B$48</f>
        <v>60.344386602331042</v>
      </c>
    </row>
    <row r="115" spans="1:15" x14ac:dyDescent="0.2">
      <c r="A115" s="228">
        <v>91</v>
      </c>
      <c r="B115" s="229">
        <v>0.95162100000000005</v>
      </c>
      <c r="C115" s="229">
        <v>0.41386600000000001</v>
      </c>
      <c r="D115" s="229">
        <v>0.50952299999999995</v>
      </c>
      <c r="E115" s="229">
        <v>0.74345899999999998</v>
      </c>
      <c r="F115" s="229">
        <v>0.3664</v>
      </c>
      <c r="G115" s="229">
        <v>0.30562299999999998</v>
      </c>
      <c r="H115" s="230">
        <f>Proj_Inputs!$B$44+(Proj_Inputs!$C$44-Proj_Inputs!$B$44)*B115</f>
        <v>9.0324200000000021E-2</v>
      </c>
      <c r="I115" s="230">
        <f>Proj_Inputs!$B$45+(Proj_Inputs!$C$45-Proj_Inputs!$B$45)*C115</f>
        <v>-6.890719999999996E-3</v>
      </c>
      <c r="J115" s="230">
        <f>Proj_Inputs!$B$46+(Proj_Inputs!$C$46-Proj_Inputs!$B$46)*D115</f>
        <v>-4.8095399999999996E-2</v>
      </c>
      <c r="K115" s="230">
        <f>Proj_Inputs!$B$47+(Proj_Inputs!$C$47-Proj_Inputs!$B$47)*E115</f>
        <v>0.13586474999999998</v>
      </c>
      <c r="L115" s="230">
        <f>Proj_Inputs!$B$46+(Proj_Inputs!$C$46-Proj_Inputs!$B$46)*F115</f>
        <v>-7.6719999999999997E-2</v>
      </c>
      <c r="M115" s="230">
        <f>Proj_Inputs!$B$47+(Proj_Inputs!$C$47-Proj_Inputs!$B$47)*G115</f>
        <v>2.6405749999999992E-2</v>
      </c>
      <c r="N115" s="231">
        <f>(1+H115)*(Proj_Inputs!$B$20+J115)/Proj_Inputs!$B$20*((Proj_Inputs!$B$21+I115)*(1-Proj_Inputs!$B$24)*NPV_Pirelli!$B$47+NPV_Pirelli!$B$49)+(1+K115)*NPV_Pirelli!$B$48</f>
        <v>292.48513036936276</v>
      </c>
      <c r="O115" s="231">
        <f>(1+H115)*(Proj_Inputs!$C$20+L115)/Proj_Inputs!$C$20*((Proj_Inputs!$C$21+I115)*(1-Proj_Inputs!$C$24)*NPV_Hankook!$B$47+NPV_Hankook!$B$49)+(1+M115)*NPV_Hankook!$B$48</f>
        <v>-170.37140220327171</v>
      </c>
    </row>
    <row r="116" spans="1:15" x14ac:dyDescent="0.2">
      <c r="A116" s="228">
        <v>92</v>
      </c>
      <c r="B116" s="229">
        <v>0.98051699999999997</v>
      </c>
      <c r="C116" s="229">
        <v>0.69014699999999995</v>
      </c>
      <c r="D116" s="229">
        <v>0.89663899999999996</v>
      </c>
      <c r="E116" s="229">
        <v>0.27382000000000001</v>
      </c>
      <c r="F116" s="229">
        <v>0.21956999999999999</v>
      </c>
      <c r="G116" s="229">
        <v>0.64583400000000002</v>
      </c>
      <c r="H116" s="230">
        <f>Proj_Inputs!$B$44+(Proj_Inputs!$C$44-Proj_Inputs!$B$44)*B116</f>
        <v>9.6103400000000005E-2</v>
      </c>
      <c r="I116" s="230">
        <f>Proj_Inputs!$B$45+(Proj_Inputs!$C$45-Proj_Inputs!$B$45)*C116</f>
        <v>1.5211759999999998E-2</v>
      </c>
      <c r="J116" s="230">
        <f>Proj_Inputs!$B$46+(Proj_Inputs!$C$46-Proj_Inputs!$B$46)*D116</f>
        <v>2.9327800000000015E-2</v>
      </c>
      <c r="K116" s="230">
        <f>Proj_Inputs!$B$47+(Proj_Inputs!$C$47-Proj_Inputs!$B$47)*E116</f>
        <v>1.8454999999999999E-2</v>
      </c>
      <c r="L116" s="230">
        <f>Proj_Inputs!$B$46+(Proj_Inputs!$C$46-Proj_Inputs!$B$46)*F116</f>
        <v>-0.10608599999999999</v>
      </c>
      <c r="M116" s="230">
        <f>Proj_Inputs!$B$47+(Proj_Inputs!$C$47-Proj_Inputs!$B$47)*G116</f>
        <v>0.1114585</v>
      </c>
      <c r="N116" s="231">
        <f>(1+H116)*(Proj_Inputs!$B$20+J116)/Proj_Inputs!$B$20*((Proj_Inputs!$B$21+I116)*(1-Proj_Inputs!$B$24)*NPV_Pirelli!$B$47+NPV_Pirelli!$B$49)+(1+K116)*NPV_Pirelli!$B$48</f>
        <v>654.63089990384594</v>
      </c>
      <c r="O116" s="231">
        <f>(1+H116)*(Proj_Inputs!$C$20+L116)/Proj_Inputs!$C$20*((Proj_Inputs!$C$21+I116)*(1-Proj_Inputs!$C$24)*NPV_Hankook!$B$47+NPV_Hankook!$B$49)+(1+M116)*NPV_Hankook!$B$48</f>
        <v>-154.13606261683844</v>
      </c>
    </row>
    <row r="117" spans="1:15" x14ac:dyDescent="0.2">
      <c r="A117" s="228">
        <v>93</v>
      </c>
      <c r="B117" s="229">
        <v>0.57658600000000004</v>
      </c>
      <c r="C117" s="229">
        <v>0.94872999999999996</v>
      </c>
      <c r="D117" s="229">
        <v>0.94500499999999998</v>
      </c>
      <c r="E117" s="229">
        <v>0.79424799999999995</v>
      </c>
      <c r="F117" s="229">
        <v>0.34521600000000002</v>
      </c>
      <c r="G117" s="229">
        <v>0.907779</v>
      </c>
      <c r="H117" s="230">
        <f>Proj_Inputs!$B$44+(Proj_Inputs!$C$44-Proj_Inputs!$B$44)*B117</f>
        <v>1.5317200000000003E-2</v>
      </c>
      <c r="I117" s="230">
        <f>Proj_Inputs!$B$45+(Proj_Inputs!$C$45-Proj_Inputs!$B$45)*C117</f>
        <v>3.5898400000000004E-2</v>
      </c>
      <c r="J117" s="230">
        <f>Proj_Inputs!$B$46+(Proj_Inputs!$C$46-Proj_Inputs!$B$46)*D117</f>
        <v>3.9001000000000008E-2</v>
      </c>
      <c r="K117" s="230">
        <f>Proj_Inputs!$B$47+(Proj_Inputs!$C$47-Proj_Inputs!$B$47)*E117</f>
        <v>0.14856199999999997</v>
      </c>
      <c r="L117" s="230">
        <f>Proj_Inputs!$B$46+(Proj_Inputs!$C$46-Proj_Inputs!$B$46)*F117</f>
        <v>-8.0956799999999982E-2</v>
      </c>
      <c r="M117" s="230">
        <f>Proj_Inputs!$B$47+(Proj_Inputs!$C$47-Proj_Inputs!$B$47)*G117</f>
        <v>0.17694474999999998</v>
      </c>
      <c r="N117" s="231">
        <f>(1+H117)*(Proj_Inputs!$B$20+J117)/Proj_Inputs!$B$20*((Proj_Inputs!$B$21+I117)*(1-Proj_Inputs!$B$24)*NPV_Pirelli!$B$47+NPV_Pirelli!$B$49)+(1+K117)*NPV_Pirelli!$B$48</f>
        <v>594.25178822993303</v>
      </c>
      <c r="O117" s="231">
        <f>(1+H117)*(Proj_Inputs!$C$20+L117)/Proj_Inputs!$C$20*((Proj_Inputs!$C$21+I117)*(1-Proj_Inputs!$C$24)*NPV_Hankook!$B$47+NPV_Hankook!$B$49)+(1+M117)*NPV_Hankook!$B$48</f>
        <v>-149.86925896303273</v>
      </c>
    </row>
    <row r="118" spans="1:15" x14ac:dyDescent="0.2">
      <c r="A118" s="228">
        <v>94</v>
      </c>
      <c r="B118" s="229">
        <v>8.6224999999999996E-2</v>
      </c>
      <c r="C118" s="229">
        <v>0.65655399999999997</v>
      </c>
      <c r="D118" s="229">
        <v>0.88140700000000005</v>
      </c>
      <c r="E118" s="229">
        <v>0.336955</v>
      </c>
      <c r="F118" s="229">
        <v>1.6420000000000001E-2</v>
      </c>
      <c r="G118" s="229">
        <v>0.61788600000000005</v>
      </c>
      <c r="H118" s="230">
        <f>Proj_Inputs!$B$44+(Proj_Inputs!$C$44-Proj_Inputs!$B$44)*B118</f>
        <v>-8.2755000000000009E-2</v>
      </c>
      <c r="I118" s="230">
        <f>Proj_Inputs!$B$45+(Proj_Inputs!$C$45-Proj_Inputs!$B$45)*C118</f>
        <v>1.2524319999999999E-2</v>
      </c>
      <c r="J118" s="230">
        <f>Proj_Inputs!$B$46+(Proj_Inputs!$C$46-Proj_Inputs!$B$46)*D118</f>
        <v>2.6281400000000038E-2</v>
      </c>
      <c r="K118" s="230">
        <f>Proj_Inputs!$B$47+(Proj_Inputs!$C$47-Proj_Inputs!$B$47)*E118</f>
        <v>3.4238749999999998E-2</v>
      </c>
      <c r="L118" s="230">
        <f>Proj_Inputs!$B$46+(Proj_Inputs!$C$46-Proj_Inputs!$B$46)*F118</f>
        <v>-0.14671599999999999</v>
      </c>
      <c r="M118" s="230">
        <f>Proj_Inputs!$B$47+(Proj_Inputs!$C$47-Proj_Inputs!$B$47)*G118</f>
        <v>0.10447150000000001</v>
      </c>
      <c r="N118" s="231">
        <f>(1+H118)*(Proj_Inputs!$B$20+J118)/Proj_Inputs!$B$20*((Proj_Inputs!$B$21+I118)*(1-Proj_Inputs!$B$24)*NPV_Pirelli!$B$47+NPV_Pirelli!$B$49)+(1+K118)*NPV_Pirelli!$B$48</f>
        <v>384.66052980490633</v>
      </c>
      <c r="O118" s="231">
        <f>(1+H118)*(Proj_Inputs!$C$20+L118)/Proj_Inputs!$C$20*((Proj_Inputs!$C$21+I118)*(1-Proj_Inputs!$C$24)*NPV_Hankook!$B$47+NPV_Hankook!$B$49)+(1+M118)*NPV_Hankook!$B$48</f>
        <v>-394.74967837393967</v>
      </c>
    </row>
    <row r="119" spans="1:15" x14ac:dyDescent="0.2">
      <c r="A119" s="228">
        <v>95</v>
      </c>
      <c r="B119" s="229">
        <v>0.74893299999999996</v>
      </c>
      <c r="C119" s="229">
        <v>0.96077000000000001</v>
      </c>
      <c r="D119" s="229">
        <v>0.64342900000000003</v>
      </c>
      <c r="E119" s="229">
        <v>0.43783</v>
      </c>
      <c r="F119" s="229">
        <v>0.513934</v>
      </c>
      <c r="G119" s="229">
        <v>8.3376000000000006E-2</v>
      </c>
      <c r="H119" s="230">
        <f>Proj_Inputs!$B$44+(Proj_Inputs!$C$44-Proj_Inputs!$B$44)*B119</f>
        <v>4.9786599999999986E-2</v>
      </c>
      <c r="I119" s="230">
        <f>Proj_Inputs!$B$45+(Proj_Inputs!$C$45-Proj_Inputs!$B$45)*C119</f>
        <v>3.6861600000000001E-2</v>
      </c>
      <c r="J119" s="230">
        <f>Proj_Inputs!$B$46+(Proj_Inputs!$C$46-Proj_Inputs!$B$46)*D119</f>
        <v>-2.1314199999999978E-2</v>
      </c>
      <c r="K119" s="230">
        <f>Proj_Inputs!$B$47+(Proj_Inputs!$C$47-Proj_Inputs!$B$47)*E119</f>
        <v>5.9457499999999996E-2</v>
      </c>
      <c r="L119" s="230">
        <f>Proj_Inputs!$B$46+(Proj_Inputs!$C$46-Proj_Inputs!$B$46)*F119</f>
        <v>-4.7213199999999983E-2</v>
      </c>
      <c r="M119" s="230">
        <f>Proj_Inputs!$B$47+(Proj_Inputs!$C$47-Proj_Inputs!$B$47)*G119</f>
        <v>-2.9156000000000001E-2</v>
      </c>
      <c r="N119" s="231">
        <f>(1+H119)*(Proj_Inputs!$B$20+J119)/Proj_Inputs!$B$20*((Proj_Inputs!$B$21+I119)*(1-Proj_Inputs!$B$24)*NPV_Pirelli!$B$47+NPV_Pirelli!$B$49)+(1+K119)*NPV_Pirelli!$B$48</f>
        <v>621.91637712506508</v>
      </c>
      <c r="O119" s="231">
        <f>(1+H119)*(Proj_Inputs!$C$20+L119)/Proj_Inputs!$C$20*((Proj_Inputs!$C$21+I119)*(1-Proj_Inputs!$C$24)*NPV_Hankook!$B$47+NPV_Hankook!$B$49)+(1+M119)*NPV_Hankook!$B$48</f>
        <v>189.78730662933049</v>
      </c>
    </row>
    <row r="120" spans="1:15" x14ac:dyDescent="0.2">
      <c r="A120" s="228">
        <v>96</v>
      </c>
      <c r="B120" s="229">
        <v>0.48318</v>
      </c>
      <c r="C120" s="229">
        <v>0.55881599999999998</v>
      </c>
      <c r="D120" s="229">
        <v>0.29968800000000001</v>
      </c>
      <c r="E120" s="229">
        <v>0.50234599999999996</v>
      </c>
      <c r="F120" s="229">
        <v>0.34187699999999999</v>
      </c>
      <c r="G120" s="229">
        <v>9.0980000000000005E-2</v>
      </c>
      <c r="H120" s="230">
        <f>Proj_Inputs!$B$44+(Proj_Inputs!$C$44-Proj_Inputs!$B$44)*B120</f>
        <v>-3.3640000000000059E-3</v>
      </c>
      <c r="I120" s="230">
        <f>Proj_Inputs!$B$45+(Proj_Inputs!$C$45-Proj_Inputs!$B$45)*C120</f>
        <v>4.7052799999999992E-3</v>
      </c>
      <c r="J120" s="230">
        <f>Proj_Inputs!$B$46+(Proj_Inputs!$C$46-Proj_Inputs!$B$46)*D120</f>
        <v>-9.0062399999999987E-2</v>
      </c>
      <c r="K120" s="230">
        <f>Proj_Inputs!$B$47+(Proj_Inputs!$C$47-Proj_Inputs!$B$47)*E120</f>
        <v>7.5586499999999987E-2</v>
      </c>
      <c r="L120" s="230">
        <f>Proj_Inputs!$B$46+(Proj_Inputs!$C$46-Proj_Inputs!$B$46)*F120</f>
        <v>-8.1624599999999992E-2</v>
      </c>
      <c r="M120" s="230">
        <f>Proj_Inputs!$B$47+(Proj_Inputs!$C$47-Proj_Inputs!$B$47)*G120</f>
        <v>-2.7255000000000001E-2</v>
      </c>
      <c r="N120" s="231">
        <f>(1+H120)*(Proj_Inputs!$B$20+J120)/Proj_Inputs!$B$20*((Proj_Inputs!$B$21+I120)*(1-Proj_Inputs!$B$24)*NPV_Pirelli!$B$47+NPV_Pirelli!$B$49)+(1+K120)*NPV_Pirelli!$B$48</f>
        <v>248.77590763164449</v>
      </c>
      <c r="O120" s="231">
        <f>(1+H120)*(Proj_Inputs!$C$20+L120)/Proj_Inputs!$C$20*((Proj_Inputs!$C$21+I120)*(1-Proj_Inputs!$C$24)*NPV_Hankook!$B$47+NPV_Hankook!$B$49)+(1+M120)*NPV_Hankook!$B$48</f>
        <v>-129.46223765076468</v>
      </c>
    </row>
    <row r="121" spans="1:15" x14ac:dyDescent="0.2">
      <c r="A121" s="228">
        <v>97</v>
      </c>
      <c r="B121" s="229">
        <v>0.18860299999999999</v>
      </c>
      <c r="C121" s="229">
        <v>0.54044199999999998</v>
      </c>
      <c r="D121" s="229">
        <v>0.63056599999999996</v>
      </c>
      <c r="E121" s="229">
        <v>3.2070000000000001E-2</v>
      </c>
      <c r="F121" s="229">
        <v>0.68247599999999997</v>
      </c>
      <c r="G121" s="229">
        <v>0.67449300000000001</v>
      </c>
      <c r="H121" s="230">
        <f>Proj_Inputs!$B$44+(Proj_Inputs!$C$44-Proj_Inputs!$B$44)*B121</f>
        <v>-6.2279400000000006E-2</v>
      </c>
      <c r="I121" s="230">
        <f>Proj_Inputs!$B$45+(Proj_Inputs!$C$45-Proj_Inputs!$B$45)*C121</f>
        <v>3.2353599999999996E-3</v>
      </c>
      <c r="J121" s="230">
        <f>Proj_Inputs!$B$46+(Proj_Inputs!$C$46-Proj_Inputs!$B$46)*D121</f>
        <v>-2.3886799999999986E-2</v>
      </c>
      <c r="K121" s="230">
        <f>Proj_Inputs!$B$47+(Proj_Inputs!$C$47-Proj_Inputs!$B$47)*E121</f>
        <v>-4.1982500000000006E-2</v>
      </c>
      <c r="L121" s="230">
        <f>Proj_Inputs!$B$46+(Proj_Inputs!$C$46-Proj_Inputs!$B$46)*F121</f>
        <v>-1.3504799999999983E-2</v>
      </c>
      <c r="M121" s="230">
        <f>Proj_Inputs!$B$47+(Proj_Inputs!$C$47-Proj_Inputs!$B$47)*G121</f>
        <v>0.11862325</v>
      </c>
      <c r="N121" s="231">
        <f>(1+H121)*(Proj_Inputs!$B$20+J121)/Proj_Inputs!$B$20*((Proj_Inputs!$B$21+I121)*(1-Proj_Inputs!$B$24)*NPV_Pirelli!$B$47+NPV_Pirelli!$B$49)+(1+K121)*NPV_Pirelli!$B$48</f>
        <v>352.63879380183027</v>
      </c>
      <c r="O121" s="231">
        <f>(1+H121)*(Proj_Inputs!$C$20+L121)/Proj_Inputs!$C$20*((Proj_Inputs!$C$21+I121)*(1-Proj_Inputs!$C$24)*NPV_Hankook!$B$47+NPV_Hankook!$B$49)+(1+M121)*NPV_Hankook!$B$48</f>
        <v>-289.22383768261352</v>
      </c>
    </row>
    <row r="122" spans="1:15" x14ac:dyDescent="0.2">
      <c r="A122" s="228">
        <v>98</v>
      </c>
      <c r="B122" s="229">
        <v>0.85097599999999995</v>
      </c>
      <c r="C122" s="229">
        <v>0.64390599999999998</v>
      </c>
      <c r="D122" s="229">
        <v>0.16377700000000001</v>
      </c>
      <c r="E122" s="229">
        <v>8.3782999999999996E-2</v>
      </c>
      <c r="F122" s="229">
        <v>0.39862300000000001</v>
      </c>
      <c r="G122" s="229">
        <v>0.90467200000000003</v>
      </c>
      <c r="H122" s="230">
        <f>Proj_Inputs!$B$44+(Proj_Inputs!$C$44-Proj_Inputs!$B$44)*B122</f>
        <v>7.0195199999999985E-2</v>
      </c>
      <c r="I122" s="230">
        <f>Proj_Inputs!$B$45+(Proj_Inputs!$C$45-Proj_Inputs!$B$45)*C122</f>
        <v>1.1512479999999999E-2</v>
      </c>
      <c r="J122" s="230">
        <f>Proj_Inputs!$B$46+(Proj_Inputs!$C$46-Proj_Inputs!$B$46)*D122</f>
        <v>-0.11724459999999999</v>
      </c>
      <c r="K122" s="230">
        <f>Proj_Inputs!$B$47+(Proj_Inputs!$C$47-Proj_Inputs!$B$47)*E122</f>
        <v>-2.9054250000000004E-2</v>
      </c>
      <c r="L122" s="230">
        <f>Proj_Inputs!$B$46+(Proj_Inputs!$C$46-Proj_Inputs!$B$46)*F122</f>
        <v>-7.0275399999999988E-2</v>
      </c>
      <c r="M122" s="230">
        <f>Proj_Inputs!$B$47+(Proj_Inputs!$C$47-Proj_Inputs!$B$47)*G122</f>
        <v>0.17616799999999999</v>
      </c>
      <c r="N122" s="231">
        <f>(1+H122)*(Proj_Inputs!$B$20+J122)/Proj_Inputs!$B$20*((Proj_Inputs!$B$21+I122)*(1-Proj_Inputs!$B$24)*NPV_Pirelli!$B$47+NPV_Pirelli!$B$49)+(1+K122)*NPV_Pirelli!$B$48</f>
        <v>411.8873579906458</v>
      </c>
      <c r="O122" s="231">
        <f>(1+H122)*(Proj_Inputs!$C$20+L122)/Proj_Inputs!$C$20*((Proj_Inputs!$C$21+I122)*(1-Proj_Inputs!$C$24)*NPV_Hankook!$B$47+NPV_Hankook!$B$49)+(1+M122)*NPV_Hankook!$B$48</f>
        <v>-231.18970121635084</v>
      </c>
    </row>
    <row r="123" spans="1:15" x14ac:dyDescent="0.2">
      <c r="A123" s="228">
        <v>99</v>
      </c>
      <c r="B123" s="229">
        <v>0.75715200000000005</v>
      </c>
      <c r="C123" s="229">
        <v>0.320386</v>
      </c>
      <c r="D123" s="229">
        <v>0.78182499999999999</v>
      </c>
      <c r="E123" s="229">
        <v>0.72604000000000002</v>
      </c>
      <c r="F123" s="229">
        <v>0.65865200000000002</v>
      </c>
      <c r="G123" s="229">
        <v>0.341503</v>
      </c>
      <c r="H123" s="230">
        <f>Proj_Inputs!$B$44+(Proj_Inputs!$C$44-Proj_Inputs!$B$44)*B123</f>
        <v>5.1430400000000015E-2</v>
      </c>
      <c r="I123" s="230">
        <f>Proj_Inputs!$B$45+(Proj_Inputs!$C$45-Proj_Inputs!$B$45)*C123</f>
        <v>-1.4369119999999999E-2</v>
      </c>
      <c r="J123" s="230">
        <f>Proj_Inputs!$B$46+(Proj_Inputs!$C$46-Proj_Inputs!$B$46)*D123</f>
        <v>6.3650000000000095E-3</v>
      </c>
      <c r="K123" s="230">
        <f>Proj_Inputs!$B$47+(Proj_Inputs!$C$47-Proj_Inputs!$B$47)*E123</f>
        <v>0.13151000000000002</v>
      </c>
      <c r="L123" s="230">
        <f>Proj_Inputs!$B$46+(Proj_Inputs!$C$46-Proj_Inputs!$B$46)*F123</f>
        <v>-1.8269599999999997E-2</v>
      </c>
      <c r="M123" s="230">
        <f>Proj_Inputs!$B$47+(Proj_Inputs!$C$47-Proj_Inputs!$B$47)*G123</f>
        <v>3.5375749999999997E-2</v>
      </c>
      <c r="N123" s="231">
        <f>(1+H123)*(Proj_Inputs!$B$20+J123)/Proj_Inputs!$B$20*((Proj_Inputs!$B$21+I123)*(1-Proj_Inputs!$B$24)*NPV_Pirelli!$B$47+NPV_Pirelli!$B$49)+(1+K123)*NPV_Pirelli!$B$48</f>
        <v>277.78969224688251</v>
      </c>
      <c r="O123" s="231">
        <f>(1+H123)*(Proj_Inputs!$C$20+L123)/Proj_Inputs!$C$20*((Proj_Inputs!$C$21+I123)*(1-Proj_Inputs!$C$24)*NPV_Hankook!$B$47+NPV_Hankook!$B$49)+(1+M123)*NPV_Hankook!$B$48</f>
        <v>-200.03074106998304</v>
      </c>
    </row>
    <row r="124" spans="1:15" x14ac:dyDescent="0.2">
      <c r="A124" s="228">
        <v>100</v>
      </c>
      <c r="B124" s="229">
        <v>0.96631</v>
      </c>
      <c r="C124" s="229">
        <v>0.44065100000000001</v>
      </c>
      <c r="D124" s="229">
        <v>0.76298900000000003</v>
      </c>
      <c r="E124" s="229">
        <v>0.450409</v>
      </c>
      <c r="F124" s="229">
        <v>0.51455099999999998</v>
      </c>
      <c r="G124" s="229">
        <v>0.75713699999999995</v>
      </c>
      <c r="H124" s="230">
        <f>Proj_Inputs!$B$44+(Proj_Inputs!$C$44-Proj_Inputs!$B$44)*B124</f>
        <v>9.3262000000000012E-2</v>
      </c>
      <c r="I124" s="230">
        <f>Proj_Inputs!$B$45+(Proj_Inputs!$C$45-Proj_Inputs!$B$45)*C124</f>
        <v>-4.7479199999999958E-3</v>
      </c>
      <c r="J124" s="230">
        <f>Proj_Inputs!$B$46+(Proj_Inputs!$C$46-Proj_Inputs!$B$46)*D124</f>
        <v>2.5978000000000112E-3</v>
      </c>
      <c r="K124" s="230">
        <f>Proj_Inputs!$B$47+(Proj_Inputs!$C$47-Proj_Inputs!$B$47)*E124</f>
        <v>6.2602249999999998E-2</v>
      </c>
      <c r="L124" s="230">
        <f>Proj_Inputs!$B$46+(Proj_Inputs!$C$46-Proj_Inputs!$B$46)*F124</f>
        <v>-4.7089799999999987E-2</v>
      </c>
      <c r="M124" s="230">
        <f>Proj_Inputs!$B$47+(Proj_Inputs!$C$47-Proj_Inputs!$B$47)*G124</f>
        <v>0.13928425</v>
      </c>
      <c r="N124" s="231">
        <f>(1+H124)*(Proj_Inputs!$B$20+J124)/Proj_Inputs!$B$20*((Proj_Inputs!$B$21+I124)*(1-Proj_Inputs!$B$24)*NPV_Pirelli!$B$47+NPV_Pirelli!$B$49)+(1+K124)*NPV_Pirelli!$B$48</f>
        <v>438.85605784055667</v>
      </c>
      <c r="O124" s="231">
        <f>(1+H124)*(Proj_Inputs!$C$20+L124)/Proj_Inputs!$C$20*((Proj_Inputs!$C$21+I124)*(1-Proj_Inputs!$C$24)*NPV_Hankook!$B$47+NPV_Hankook!$B$49)+(1+M124)*NPV_Hankook!$B$48</f>
        <v>-246.77007221138865</v>
      </c>
    </row>
    <row r="125" spans="1:15" x14ac:dyDescent="0.2">
      <c r="A125" s="228">
        <v>101</v>
      </c>
      <c r="B125" s="229">
        <v>3.8427999999999997E-2</v>
      </c>
      <c r="C125" s="229">
        <v>0.28504099999999999</v>
      </c>
      <c r="D125" s="229">
        <v>0.68606800000000001</v>
      </c>
      <c r="E125" s="229">
        <v>0.84609100000000004</v>
      </c>
      <c r="F125" s="229">
        <v>0.83162400000000003</v>
      </c>
      <c r="G125" s="229">
        <v>0.108261</v>
      </c>
      <c r="H125" s="230">
        <f>Proj_Inputs!$B$44+(Proj_Inputs!$C$44-Proj_Inputs!$B$44)*B125</f>
        <v>-9.2314400000000005E-2</v>
      </c>
      <c r="I125" s="230">
        <f>Proj_Inputs!$B$45+(Proj_Inputs!$C$45-Proj_Inputs!$B$45)*C125</f>
        <v>-1.7196720000000002E-2</v>
      </c>
      <c r="J125" s="230">
        <f>Proj_Inputs!$B$46+(Proj_Inputs!$C$46-Proj_Inputs!$B$46)*D125</f>
        <v>-1.2786399999999976E-2</v>
      </c>
      <c r="K125" s="230">
        <f>Proj_Inputs!$B$47+(Proj_Inputs!$C$47-Proj_Inputs!$B$47)*E125</f>
        <v>0.16152274999999999</v>
      </c>
      <c r="L125" s="230">
        <f>Proj_Inputs!$B$46+(Proj_Inputs!$C$46-Proj_Inputs!$B$46)*F125</f>
        <v>1.6324800000000028E-2</v>
      </c>
      <c r="M125" s="230">
        <f>Proj_Inputs!$B$47+(Proj_Inputs!$C$47-Proj_Inputs!$B$47)*G125</f>
        <v>-2.2934750000000004E-2</v>
      </c>
      <c r="N125" s="231">
        <f>(1+H125)*(Proj_Inputs!$B$20+J125)/Proj_Inputs!$B$20*((Proj_Inputs!$B$21+I125)*(1-Proj_Inputs!$B$24)*NPV_Pirelli!$B$47+NPV_Pirelli!$B$49)+(1+K125)*NPV_Pirelli!$B$48</f>
        <v>57.209229136241106</v>
      </c>
      <c r="O125" s="231">
        <f>(1+H125)*(Proj_Inputs!$C$20+L125)/Proj_Inputs!$C$20*((Proj_Inputs!$C$21+I125)*(1-Proj_Inputs!$C$24)*NPV_Hankook!$B$47+NPV_Hankook!$B$49)+(1+M125)*NPV_Hankook!$B$48</f>
        <v>-253.40426099012086</v>
      </c>
    </row>
    <row r="126" spans="1:15" x14ac:dyDescent="0.2">
      <c r="A126" s="228">
        <v>102</v>
      </c>
      <c r="B126" s="229">
        <v>0.14016899999999999</v>
      </c>
      <c r="C126" s="229">
        <v>0.20716499999999999</v>
      </c>
      <c r="D126" s="229">
        <v>8.0843999999999999E-2</v>
      </c>
      <c r="E126" s="229">
        <v>0.78648099999999999</v>
      </c>
      <c r="F126" s="229">
        <v>0.85303899999999999</v>
      </c>
      <c r="G126" s="229">
        <v>0.10241599999999999</v>
      </c>
      <c r="H126" s="230">
        <f>Proj_Inputs!$B$44+(Proj_Inputs!$C$44-Proj_Inputs!$B$44)*B126</f>
        <v>-7.1966200000000008E-2</v>
      </c>
      <c r="I126" s="230">
        <f>Proj_Inputs!$B$45+(Proj_Inputs!$C$45-Proj_Inputs!$B$45)*C126</f>
        <v>-2.3426800000000001E-2</v>
      </c>
      <c r="J126" s="230">
        <f>Proj_Inputs!$B$46+(Proj_Inputs!$C$46-Proj_Inputs!$B$46)*D126</f>
        <v>-0.13383119999999998</v>
      </c>
      <c r="K126" s="230">
        <f>Proj_Inputs!$B$47+(Proj_Inputs!$C$47-Proj_Inputs!$B$47)*E126</f>
        <v>0.14662025000000001</v>
      </c>
      <c r="L126" s="230">
        <f>Proj_Inputs!$B$46+(Proj_Inputs!$C$46-Proj_Inputs!$B$46)*F126</f>
        <v>2.0607800000000009E-2</v>
      </c>
      <c r="M126" s="230">
        <f>Proj_Inputs!$B$47+(Proj_Inputs!$C$47-Proj_Inputs!$B$47)*G126</f>
        <v>-2.4396000000000004E-2</v>
      </c>
      <c r="N126" s="231">
        <f>(1+H126)*(Proj_Inputs!$B$20+J126)/Proj_Inputs!$B$20*((Proj_Inputs!$B$21+I126)*(1-Proj_Inputs!$B$24)*NPV_Pirelli!$B$47+NPV_Pirelli!$B$49)+(1+K126)*NPV_Pirelli!$B$48</f>
        <v>-75.390632242455922</v>
      </c>
      <c r="O126" s="231">
        <f>(1+H126)*(Proj_Inputs!$C$20+L126)/Proj_Inputs!$C$20*((Proj_Inputs!$C$21+I126)*(1-Proj_Inputs!$C$24)*NPV_Hankook!$B$47+NPV_Hankook!$B$49)+(1+M126)*NPV_Hankook!$B$48</f>
        <v>-268.2142072151546</v>
      </c>
    </row>
    <row r="127" spans="1:15" x14ac:dyDescent="0.2">
      <c r="A127" s="228">
        <v>103</v>
      </c>
      <c r="B127" s="229">
        <v>1.5848000000000001E-2</v>
      </c>
      <c r="C127" s="229">
        <v>0.102585</v>
      </c>
      <c r="D127" s="229">
        <v>0.99777099999999996</v>
      </c>
      <c r="E127" s="229">
        <v>0.23239399999999999</v>
      </c>
      <c r="F127" s="229">
        <v>0.83151200000000003</v>
      </c>
      <c r="G127" s="229">
        <v>0.59567999999999999</v>
      </c>
      <c r="H127" s="230">
        <f>Proj_Inputs!$B$44+(Proj_Inputs!$C$44-Proj_Inputs!$B$44)*B127</f>
        <v>-9.6830400000000011E-2</v>
      </c>
      <c r="I127" s="230">
        <f>Proj_Inputs!$B$45+(Proj_Inputs!$C$45-Proj_Inputs!$B$45)*C127</f>
        <v>-3.1793200000000001E-2</v>
      </c>
      <c r="J127" s="230">
        <f>Proj_Inputs!$B$46+(Proj_Inputs!$C$46-Proj_Inputs!$B$46)*D127</f>
        <v>4.955420000000002E-2</v>
      </c>
      <c r="K127" s="230">
        <f>Proj_Inputs!$B$47+(Proj_Inputs!$C$47-Proj_Inputs!$B$47)*E127</f>
        <v>8.0984999999999946E-3</v>
      </c>
      <c r="L127" s="230">
        <f>Proj_Inputs!$B$46+(Proj_Inputs!$C$46-Proj_Inputs!$B$46)*F127</f>
        <v>1.6302400000000022E-2</v>
      </c>
      <c r="M127" s="230">
        <f>Proj_Inputs!$B$47+(Proj_Inputs!$C$47-Proj_Inputs!$B$47)*G127</f>
        <v>9.8919999999999994E-2</v>
      </c>
      <c r="N127" s="231">
        <f>(1+H127)*(Proj_Inputs!$B$20+J127)/Proj_Inputs!$B$20*((Proj_Inputs!$B$21+I127)*(1-Proj_Inputs!$B$24)*NPV_Pirelli!$B$47+NPV_Pirelli!$B$49)+(1+K127)*NPV_Pirelli!$B$48</f>
        <v>155.29816598476066</v>
      </c>
      <c r="O127" s="231">
        <f>(1+H127)*(Proj_Inputs!$C$20+L127)/Proj_Inputs!$C$20*((Proj_Inputs!$C$21+I127)*(1-Proj_Inputs!$C$24)*NPV_Hankook!$B$47+NPV_Hankook!$B$49)+(1+M127)*NPV_Hankook!$B$48</f>
        <v>-491.55713231289292</v>
      </c>
    </row>
    <row r="128" spans="1:15" x14ac:dyDescent="0.2">
      <c r="A128" s="228">
        <v>104</v>
      </c>
      <c r="B128" s="229">
        <v>0.51447699999999996</v>
      </c>
      <c r="C128" s="229">
        <v>0.19231300000000001</v>
      </c>
      <c r="D128" s="229">
        <v>0.200737</v>
      </c>
      <c r="E128" s="229">
        <v>0.304983</v>
      </c>
      <c r="F128" s="229">
        <v>0.88150799999999996</v>
      </c>
      <c r="G128" s="229">
        <v>0.35276600000000002</v>
      </c>
      <c r="H128" s="230">
        <f>Proj_Inputs!$B$44+(Proj_Inputs!$C$44-Proj_Inputs!$B$44)*B128</f>
        <v>2.8953999999999924E-3</v>
      </c>
      <c r="I128" s="230">
        <f>Proj_Inputs!$B$45+(Proj_Inputs!$C$45-Proj_Inputs!$B$45)*C128</f>
        <v>-2.4614959999999998E-2</v>
      </c>
      <c r="J128" s="230">
        <f>Proj_Inputs!$B$46+(Proj_Inputs!$C$46-Proj_Inputs!$B$46)*D128</f>
        <v>-0.10985259999999999</v>
      </c>
      <c r="K128" s="230">
        <f>Proj_Inputs!$B$47+(Proj_Inputs!$C$47-Proj_Inputs!$B$47)*E128</f>
        <v>2.6245749999999998E-2</v>
      </c>
      <c r="L128" s="230">
        <f>Proj_Inputs!$B$46+(Proj_Inputs!$C$46-Proj_Inputs!$B$46)*F128</f>
        <v>2.6301600000000008E-2</v>
      </c>
      <c r="M128" s="230">
        <f>Proj_Inputs!$B$47+(Proj_Inputs!$C$47-Proj_Inputs!$B$47)*G128</f>
        <v>3.8191500000000003E-2</v>
      </c>
      <c r="N128" s="231">
        <f>(1+H128)*(Proj_Inputs!$B$20+J128)/Proj_Inputs!$B$20*((Proj_Inputs!$B$21+I128)*(1-Proj_Inputs!$B$24)*NPV_Pirelli!$B$47+NPV_Pirelli!$B$49)+(1+K128)*NPV_Pirelli!$B$48</f>
        <v>107.89355436414758</v>
      </c>
      <c r="O128" s="231">
        <f>(1+H128)*(Proj_Inputs!$C$20+L128)/Proj_Inputs!$C$20*((Proj_Inputs!$C$21+I128)*(1-Proj_Inputs!$C$24)*NPV_Hankook!$B$47+NPV_Hankook!$B$49)+(1+M128)*NPV_Hankook!$B$48</f>
        <v>-273.71967392852366</v>
      </c>
    </row>
    <row r="129" spans="1:15" x14ac:dyDescent="0.2">
      <c r="A129" s="228">
        <v>105</v>
      </c>
      <c r="B129" s="229">
        <v>0.76564500000000002</v>
      </c>
      <c r="C129" s="229">
        <v>0.28023100000000001</v>
      </c>
      <c r="D129" s="229">
        <v>7.7394000000000004E-2</v>
      </c>
      <c r="E129" s="229">
        <v>0.80427700000000002</v>
      </c>
      <c r="F129" s="229">
        <v>0.51613900000000001</v>
      </c>
      <c r="G129" s="229">
        <v>0.69597500000000001</v>
      </c>
      <c r="H129" s="230">
        <f>Proj_Inputs!$B$44+(Proj_Inputs!$C$44-Proj_Inputs!$B$44)*B129</f>
        <v>5.312900000000001E-2</v>
      </c>
      <c r="I129" s="230">
        <f>Proj_Inputs!$B$45+(Proj_Inputs!$C$45-Proj_Inputs!$B$45)*C129</f>
        <v>-1.758152E-2</v>
      </c>
      <c r="J129" s="230">
        <f>Proj_Inputs!$B$46+(Proj_Inputs!$C$46-Proj_Inputs!$B$46)*D129</f>
        <v>-0.13452120000000001</v>
      </c>
      <c r="K129" s="230">
        <f>Proj_Inputs!$B$47+(Proj_Inputs!$C$47-Proj_Inputs!$B$47)*E129</f>
        <v>0.15106924999999999</v>
      </c>
      <c r="L129" s="230">
        <f>Proj_Inputs!$B$46+(Proj_Inputs!$C$46-Proj_Inputs!$B$46)*F129</f>
        <v>-4.6772199999999986E-2</v>
      </c>
      <c r="M129" s="230">
        <f>Proj_Inputs!$B$47+(Proj_Inputs!$C$47-Proj_Inputs!$B$47)*G129</f>
        <v>0.12399375</v>
      </c>
      <c r="N129" s="231">
        <f>(1+H129)*(Proj_Inputs!$B$20+J129)/Proj_Inputs!$B$20*((Proj_Inputs!$B$21+I129)*(1-Proj_Inputs!$B$24)*NPV_Pirelli!$B$47+NPV_Pirelli!$B$49)+(1+K129)*NPV_Pirelli!$B$48</f>
        <v>64.329098029508259</v>
      </c>
      <c r="O129" s="231">
        <f>(1+H129)*(Proj_Inputs!$C$20+L129)/Proj_Inputs!$C$20*((Proj_Inputs!$C$21+I129)*(1-Proj_Inputs!$C$24)*NPV_Hankook!$B$47+NPV_Hankook!$B$49)+(1+M129)*NPV_Hankook!$B$48</f>
        <v>-355.99930688841812</v>
      </c>
    </row>
    <row r="130" spans="1:15" x14ac:dyDescent="0.2">
      <c r="A130" s="228">
        <v>106</v>
      </c>
      <c r="B130" s="229">
        <v>0.446712</v>
      </c>
      <c r="C130" s="229">
        <v>0.31753700000000001</v>
      </c>
      <c r="D130" s="229">
        <v>0.95561200000000002</v>
      </c>
      <c r="E130" s="229">
        <v>0.200154</v>
      </c>
      <c r="F130" s="229">
        <v>0.45432299999999998</v>
      </c>
      <c r="G130" s="229">
        <v>9.2904E-2</v>
      </c>
      <c r="H130" s="230">
        <f>Proj_Inputs!$B$44+(Proj_Inputs!$C$44-Proj_Inputs!$B$44)*B130</f>
        <v>-1.0657600000000003E-2</v>
      </c>
      <c r="I130" s="230">
        <f>Proj_Inputs!$B$45+(Proj_Inputs!$C$45-Proj_Inputs!$B$45)*C130</f>
        <v>-1.4597039999999999E-2</v>
      </c>
      <c r="J130" s="230">
        <f>Proj_Inputs!$B$46+(Proj_Inputs!$C$46-Proj_Inputs!$B$46)*D130</f>
        <v>4.1122400000000031E-2</v>
      </c>
      <c r="K130" s="230">
        <f>Proj_Inputs!$B$47+(Proj_Inputs!$C$47-Proj_Inputs!$B$47)*E130</f>
        <v>3.849999999999687E-5</v>
      </c>
      <c r="L130" s="230">
        <f>Proj_Inputs!$B$46+(Proj_Inputs!$C$46-Proj_Inputs!$B$46)*F130</f>
        <v>-5.9135399999999991E-2</v>
      </c>
      <c r="M130" s="230">
        <f>Proj_Inputs!$B$47+(Proj_Inputs!$C$47-Proj_Inputs!$B$47)*G130</f>
        <v>-2.6774000000000003E-2</v>
      </c>
      <c r="N130" s="231">
        <f>(1+H130)*(Proj_Inputs!$B$20+J130)/Proj_Inputs!$B$20*((Proj_Inputs!$B$21+I130)*(1-Proj_Inputs!$B$24)*NPV_Pirelli!$B$47+NPV_Pirelli!$B$49)+(1+K130)*NPV_Pirelli!$B$48</f>
        <v>353.10889290274929</v>
      </c>
      <c r="O130" s="231">
        <f>(1+H130)*(Proj_Inputs!$C$20+L130)/Proj_Inputs!$C$20*((Proj_Inputs!$C$21+I130)*(1-Proj_Inputs!$C$24)*NPV_Hankook!$B$47+NPV_Hankook!$B$49)+(1+M130)*NPV_Hankook!$B$48</f>
        <v>-232.29140559841687</v>
      </c>
    </row>
    <row r="131" spans="1:15" x14ac:dyDescent="0.2">
      <c r="A131" s="228">
        <v>107</v>
      </c>
      <c r="B131" s="229">
        <v>0.74482499999999996</v>
      </c>
      <c r="C131" s="229">
        <v>0.66335299999999997</v>
      </c>
      <c r="D131" s="229">
        <v>0.86283500000000002</v>
      </c>
      <c r="E131" s="229">
        <v>0.67335500000000004</v>
      </c>
      <c r="F131" s="229">
        <v>0.80221699999999996</v>
      </c>
      <c r="G131" s="229">
        <v>0.62112900000000004</v>
      </c>
      <c r="H131" s="230">
        <f>Proj_Inputs!$B$44+(Proj_Inputs!$C$44-Proj_Inputs!$B$44)*B131</f>
        <v>4.8964999999999981E-2</v>
      </c>
      <c r="I131" s="230">
        <f>Proj_Inputs!$B$45+(Proj_Inputs!$C$45-Proj_Inputs!$B$45)*C131</f>
        <v>1.3068239999999995E-2</v>
      </c>
      <c r="J131" s="230">
        <f>Proj_Inputs!$B$46+(Proj_Inputs!$C$46-Proj_Inputs!$B$46)*D131</f>
        <v>2.2567000000000031E-2</v>
      </c>
      <c r="K131" s="230">
        <f>Proj_Inputs!$B$47+(Proj_Inputs!$C$47-Proj_Inputs!$B$47)*E131</f>
        <v>0.11833875000000001</v>
      </c>
      <c r="L131" s="230">
        <f>Proj_Inputs!$B$46+(Proj_Inputs!$C$46-Proj_Inputs!$B$46)*F131</f>
        <v>1.0443400000000019E-2</v>
      </c>
      <c r="M131" s="230">
        <f>Proj_Inputs!$B$47+(Proj_Inputs!$C$47-Proj_Inputs!$B$47)*G131</f>
        <v>0.10528225000000001</v>
      </c>
      <c r="N131" s="231">
        <f>(1+H131)*(Proj_Inputs!$B$20+J131)/Proj_Inputs!$B$20*((Proj_Inputs!$B$21+I131)*(1-Proj_Inputs!$B$24)*NPV_Pirelli!$B$47+NPV_Pirelli!$B$49)+(1+K131)*NPV_Pirelli!$B$48</f>
        <v>488.80033134684891</v>
      </c>
      <c r="O131" s="231">
        <f>(1+H131)*(Proj_Inputs!$C$20+L131)/Proj_Inputs!$C$20*((Proj_Inputs!$C$21+I131)*(1-Proj_Inputs!$C$24)*NPV_Hankook!$B$47+NPV_Hankook!$B$49)+(1+M131)*NPV_Hankook!$B$48</f>
        <v>-51.547918540205501</v>
      </c>
    </row>
    <row r="132" spans="1:15" x14ac:dyDescent="0.2">
      <c r="A132" s="228">
        <v>108</v>
      </c>
      <c r="B132" s="229">
        <v>0.92844499999999996</v>
      </c>
      <c r="C132" s="229">
        <v>0.52819899999999997</v>
      </c>
      <c r="D132" s="229">
        <v>0.246699</v>
      </c>
      <c r="E132" s="229">
        <v>0.16748399999999999</v>
      </c>
      <c r="F132" s="229">
        <v>0.35388500000000001</v>
      </c>
      <c r="G132" s="229">
        <v>0.21534300000000001</v>
      </c>
      <c r="H132" s="230">
        <f>Proj_Inputs!$B$44+(Proj_Inputs!$C$44-Proj_Inputs!$B$44)*B132</f>
        <v>8.5688999999999987E-2</v>
      </c>
      <c r="I132" s="230">
        <f>Proj_Inputs!$B$45+(Proj_Inputs!$C$45-Proj_Inputs!$B$45)*C132</f>
        <v>2.2559199999999946E-3</v>
      </c>
      <c r="J132" s="230">
        <f>Proj_Inputs!$B$46+(Proj_Inputs!$C$46-Proj_Inputs!$B$46)*D132</f>
        <v>-0.10066019999999999</v>
      </c>
      <c r="K132" s="230">
        <f>Proj_Inputs!$B$47+(Proj_Inputs!$C$47-Proj_Inputs!$B$47)*E132</f>
        <v>-8.1290000000000043E-3</v>
      </c>
      <c r="L132" s="230">
        <f>Proj_Inputs!$B$46+(Proj_Inputs!$C$46-Proj_Inputs!$B$46)*F132</f>
        <v>-7.9222999999999988E-2</v>
      </c>
      <c r="M132" s="230">
        <f>Proj_Inputs!$B$47+(Proj_Inputs!$C$47-Proj_Inputs!$B$47)*G132</f>
        <v>3.8357499999999989E-3</v>
      </c>
      <c r="N132" s="231">
        <f>(1+H132)*(Proj_Inputs!$B$20+J132)/Proj_Inputs!$B$20*((Proj_Inputs!$B$21+I132)*(1-Proj_Inputs!$B$24)*NPV_Pirelli!$B$47+NPV_Pirelli!$B$49)+(1+K132)*NPV_Pirelli!$B$48</f>
        <v>382.52511499202171</v>
      </c>
      <c r="O132" s="231">
        <f>(1+H132)*(Proj_Inputs!$C$20+L132)/Proj_Inputs!$C$20*((Proj_Inputs!$C$21+I132)*(1-Proj_Inputs!$C$24)*NPV_Hankook!$B$47+NPV_Hankook!$B$49)+(1+M132)*NPV_Hankook!$B$48</f>
        <v>-89.50203025197311</v>
      </c>
    </row>
    <row r="133" spans="1:15" x14ac:dyDescent="0.2">
      <c r="A133" s="228">
        <v>109</v>
      </c>
      <c r="B133" s="229">
        <v>0.38527899999999998</v>
      </c>
      <c r="C133" s="229">
        <v>0.71477599999999997</v>
      </c>
      <c r="D133" s="229">
        <v>0.18423999999999999</v>
      </c>
      <c r="E133" s="229">
        <v>0.83873699999999995</v>
      </c>
      <c r="F133" s="229">
        <v>2.5652999999999999E-2</v>
      </c>
      <c r="G133" s="229">
        <v>0.98176300000000005</v>
      </c>
      <c r="H133" s="230">
        <f>Proj_Inputs!$B$44+(Proj_Inputs!$C$44-Proj_Inputs!$B$44)*B133</f>
        <v>-2.2944199999999998E-2</v>
      </c>
      <c r="I133" s="230">
        <f>Proj_Inputs!$B$45+(Proj_Inputs!$C$45-Proj_Inputs!$B$45)*C133</f>
        <v>1.7182079999999995E-2</v>
      </c>
      <c r="J133" s="230">
        <f>Proj_Inputs!$B$46+(Proj_Inputs!$C$46-Proj_Inputs!$B$46)*D133</f>
        <v>-0.113152</v>
      </c>
      <c r="K133" s="230">
        <f>Proj_Inputs!$B$47+(Proj_Inputs!$C$47-Proj_Inputs!$B$47)*E133</f>
        <v>0.15968424999999997</v>
      </c>
      <c r="L133" s="230">
        <f>Proj_Inputs!$B$46+(Proj_Inputs!$C$46-Proj_Inputs!$B$46)*F133</f>
        <v>-0.14486939999999998</v>
      </c>
      <c r="M133" s="230">
        <f>Proj_Inputs!$B$47+(Proj_Inputs!$C$47-Proj_Inputs!$B$47)*G133</f>
        <v>0.19544075</v>
      </c>
      <c r="N133" s="231">
        <f>(1+H133)*(Proj_Inputs!$B$20+J133)/Proj_Inputs!$B$20*((Proj_Inputs!$B$21+I133)*(1-Proj_Inputs!$B$24)*NPV_Pirelli!$B$47+NPV_Pirelli!$B$49)+(1+K133)*NPV_Pirelli!$B$48</f>
        <v>196.21206053473657</v>
      </c>
      <c r="O133" s="231">
        <f>(1+H133)*(Proj_Inputs!$C$20+L133)/Proj_Inputs!$C$20*((Proj_Inputs!$C$21+I133)*(1-Proj_Inputs!$C$24)*NPV_Hankook!$B$47+NPV_Hankook!$B$49)+(1+M133)*NPV_Hankook!$B$48</f>
        <v>-414.04267090427277</v>
      </c>
    </row>
    <row r="134" spans="1:15" x14ac:dyDescent="0.2">
      <c r="A134" s="228">
        <v>110</v>
      </c>
      <c r="B134" s="229">
        <v>0.697326</v>
      </c>
      <c r="C134" s="229">
        <v>0.68319099999999999</v>
      </c>
      <c r="D134" s="229">
        <v>0.24976599999999999</v>
      </c>
      <c r="E134" s="229">
        <v>0.34031800000000001</v>
      </c>
      <c r="F134" s="229">
        <v>0.67188899999999996</v>
      </c>
      <c r="G134" s="229">
        <v>0.90063899999999997</v>
      </c>
      <c r="H134" s="230">
        <f>Proj_Inputs!$B$44+(Proj_Inputs!$C$44-Proj_Inputs!$B$44)*B134</f>
        <v>3.9465200000000006E-2</v>
      </c>
      <c r="I134" s="230">
        <f>Proj_Inputs!$B$45+(Proj_Inputs!$C$45-Proj_Inputs!$B$45)*C134</f>
        <v>1.465528E-2</v>
      </c>
      <c r="J134" s="230">
        <f>Proj_Inputs!$B$46+(Proj_Inputs!$C$46-Proj_Inputs!$B$46)*D134</f>
        <v>-0.10004679999999999</v>
      </c>
      <c r="K134" s="230">
        <f>Proj_Inputs!$B$47+(Proj_Inputs!$C$47-Proj_Inputs!$B$47)*E134</f>
        <v>3.50795E-2</v>
      </c>
      <c r="L134" s="230">
        <f>Proj_Inputs!$B$46+(Proj_Inputs!$C$46-Proj_Inputs!$B$46)*F134</f>
        <v>-1.5622200000000003E-2</v>
      </c>
      <c r="M134" s="230">
        <f>Proj_Inputs!$B$47+(Proj_Inputs!$C$47-Proj_Inputs!$B$47)*G134</f>
        <v>0.17515975</v>
      </c>
      <c r="N134" s="231">
        <f>(1+H134)*(Proj_Inputs!$B$20+J134)/Proj_Inputs!$B$20*((Proj_Inputs!$B$21+I134)*(1-Proj_Inputs!$B$24)*NPV_Pirelli!$B$47+NPV_Pirelli!$B$49)+(1+K134)*NPV_Pirelli!$B$48</f>
        <v>370.60814776906614</v>
      </c>
      <c r="O134" s="231">
        <f>(1+H134)*(Proj_Inputs!$C$20+L134)/Proj_Inputs!$C$20*((Proj_Inputs!$C$21+I134)*(1-Proj_Inputs!$C$24)*NPV_Hankook!$B$47+NPV_Hankook!$B$49)+(1+M134)*NPV_Hankook!$B$48</f>
        <v>-167.92092340206796</v>
      </c>
    </row>
    <row r="135" spans="1:15" x14ac:dyDescent="0.2">
      <c r="A135" s="228">
        <v>111</v>
      </c>
      <c r="B135" s="229">
        <v>4.9618000000000002E-2</v>
      </c>
      <c r="C135" s="229">
        <v>0.64585300000000001</v>
      </c>
      <c r="D135" s="229">
        <v>0.27386199999999999</v>
      </c>
      <c r="E135" s="229">
        <v>0.74756699999999998</v>
      </c>
      <c r="F135" s="229">
        <v>0.44655400000000001</v>
      </c>
      <c r="G135" s="229">
        <v>0.79620299999999999</v>
      </c>
      <c r="H135" s="230">
        <f>Proj_Inputs!$B$44+(Proj_Inputs!$C$44-Proj_Inputs!$B$44)*B135</f>
        <v>-9.0076400000000001E-2</v>
      </c>
      <c r="I135" s="230">
        <f>Proj_Inputs!$B$45+(Proj_Inputs!$C$45-Proj_Inputs!$B$45)*C135</f>
        <v>1.1668240000000003E-2</v>
      </c>
      <c r="J135" s="230">
        <f>Proj_Inputs!$B$46+(Proj_Inputs!$C$46-Proj_Inputs!$B$46)*D135</f>
        <v>-9.5227599999999996E-2</v>
      </c>
      <c r="K135" s="230">
        <f>Proj_Inputs!$B$47+(Proj_Inputs!$C$47-Proj_Inputs!$B$47)*E135</f>
        <v>0.13689174999999998</v>
      </c>
      <c r="L135" s="230">
        <f>Proj_Inputs!$B$46+(Proj_Inputs!$C$46-Proj_Inputs!$B$46)*F135</f>
        <v>-6.0689199999999985E-2</v>
      </c>
      <c r="M135" s="230">
        <f>Proj_Inputs!$B$47+(Proj_Inputs!$C$47-Proj_Inputs!$B$47)*G135</f>
        <v>0.14905075000000001</v>
      </c>
      <c r="N135" s="231">
        <f>(1+H135)*(Proj_Inputs!$B$20+J135)/Proj_Inputs!$B$20*((Proj_Inputs!$B$21+I135)*(1-Proj_Inputs!$B$24)*NPV_Pirelli!$B$47+NPV_Pirelli!$B$49)+(1+K135)*NPV_Pirelli!$B$48</f>
        <v>133.68791856254109</v>
      </c>
      <c r="O135" s="231">
        <f>(1+H135)*(Proj_Inputs!$C$20+L135)/Proj_Inputs!$C$20*((Proj_Inputs!$C$21+I135)*(1-Proj_Inputs!$C$24)*NPV_Hankook!$B$47+NPV_Hankook!$B$49)+(1+M135)*NPV_Hankook!$B$48</f>
        <v>-357.85311789041805</v>
      </c>
    </row>
    <row r="136" spans="1:15" x14ac:dyDescent="0.2">
      <c r="A136" s="228">
        <v>112</v>
      </c>
      <c r="B136" s="229">
        <v>0.21773000000000001</v>
      </c>
      <c r="C136" s="229">
        <v>0.83117700000000005</v>
      </c>
      <c r="D136" s="229">
        <v>0.57431399999999999</v>
      </c>
      <c r="E136" s="229">
        <v>8.4122000000000002E-2</v>
      </c>
      <c r="F136" s="229">
        <v>0.24102100000000001</v>
      </c>
      <c r="G136" s="229">
        <v>0.253662</v>
      </c>
      <c r="H136" s="230">
        <f>Proj_Inputs!$B$44+(Proj_Inputs!$C$44-Proj_Inputs!$B$44)*B136</f>
        <v>-5.6454000000000004E-2</v>
      </c>
      <c r="I136" s="230">
        <f>Proj_Inputs!$B$45+(Proj_Inputs!$C$45-Proj_Inputs!$B$45)*C136</f>
        <v>2.649416000000001E-2</v>
      </c>
      <c r="J136" s="230">
        <f>Proj_Inputs!$B$46+(Proj_Inputs!$C$46-Proj_Inputs!$B$46)*D136</f>
        <v>-3.5137199999999993E-2</v>
      </c>
      <c r="K136" s="230">
        <f>Proj_Inputs!$B$47+(Proj_Inputs!$C$47-Proj_Inputs!$B$47)*E136</f>
        <v>-2.8969500000000002E-2</v>
      </c>
      <c r="L136" s="230">
        <f>Proj_Inputs!$B$46+(Proj_Inputs!$C$46-Proj_Inputs!$B$46)*F136</f>
        <v>-0.10179579999999999</v>
      </c>
      <c r="M136" s="230">
        <f>Proj_Inputs!$B$47+(Proj_Inputs!$C$47-Proj_Inputs!$B$47)*G136</f>
        <v>1.3415499999999997E-2</v>
      </c>
      <c r="N136" s="231">
        <f>(1+H136)*(Proj_Inputs!$B$20+J136)/Proj_Inputs!$B$20*((Proj_Inputs!$B$21+I136)*(1-Proj_Inputs!$B$24)*NPV_Pirelli!$B$47+NPV_Pirelli!$B$49)+(1+K136)*NPV_Pirelli!$B$48</f>
        <v>465.40755456815214</v>
      </c>
      <c r="O136" s="231">
        <f>(1+H136)*(Proj_Inputs!$C$20+L136)/Proj_Inputs!$C$20*((Proj_Inputs!$C$21+I136)*(1-Proj_Inputs!$C$24)*NPV_Hankook!$B$47+NPV_Hankook!$B$49)+(1+M136)*NPV_Hankook!$B$48</f>
        <v>-128.58523391590961</v>
      </c>
    </row>
    <row r="137" spans="1:15" x14ac:dyDescent="0.2">
      <c r="A137" s="228">
        <v>113</v>
      </c>
      <c r="B137" s="229">
        <v>0.48250999999999999</v>
      </c>
      <c r="C137" s="229">
        <v>0.86657600000000001</v>
      </c>
      <c r="D137" s="229">
        <v>0.17349500000000001</v>
      </c>
      <c r="E137" s="229">
        <v>0.52279100000000001</v>
      </c>
      <c r="F137" s="229">
        <v>5.4563E-2</v>
      </c>
      <c r="G137" s="229">
        <v>0.79763700000000004</v>
      </c>
      <c r="H137" s="230">
        <f>Proj_Inputs!$B$44+(Proj_Inputs!$C$44-Proj_Inputs!$B$44)*B137</f>
        <v>-3.4980000000000011E-3</v>
      </c>
      <c r="I137" s="230">
        <f>Proj_Inputs!$B$45+(Proj_Inputs!$C$45-Proj_Inputs!$B$45)*C137</f>
        <v>2.9326079999999997E-2</v>
      </c>
      <c r="J137" s="230">
        <f>Proj_Inputs!$B$46+(Proj_Inputs!$C$46-Proj_Inputs!$B$46)*D137</f>
        <v>-0.11530099999999999</v>
      </c>
      <c r="K137" s="230">
        <f>Proj_Inputs!$B$47+(Proj_Inputs!$C$47-Proj_Inputs!$B$47)*E137</f>
        <v>8.0697749999999999E-2</v>
      </c>
      <c r="L137" s="230">
        <f>Proj_Inputs!$B$46+(Proj_Inputs!$C$46-Proj_Inputs!$B$46)*F137</f>
        <v>-0.1390874</v>
      </c>
      <c r="M137" s="230">
        <f>Proj_Inputs!$B$47+(Proj_Inputs!$C$47-Proj_Inputs!$B$47)*G137</f>
        <v>0.14940924999999999</v>
      </c>
      <c r="N137" s="231">
        <f>(1+H137)*(Proj_Inputs!$B$20+J137)/Proj_Inputs!$B$20*((Proj_Inputs!$B$21+I137)*(1-Proj_Inputs!$B$24)*NPV_Pirelli!$B$47+NPV_Pirelli!$B$49)+(1+K137)*NPV_Pirelli!$B$48</f>
        <v>342.76032205523506</v>
      </c>
      <c r="O137" s="231">
        <f>(1+H137)*(Proj_Inputs!$C$20+L137)/Proj_Inputs!$C$20*((Proj_Inputs!$C$21+I137)*(1-Proj_Inputs!$C$24)*NPV_Hankook!$B$47+NPV_Hankook!$B$49)+(1+M137)*NPV_Hankook!$B$48</f>
        <v>-263.31242242171652</v>
      </c>
    </row>
    <row r="138" spans="1:15" x14ac:dyDescent="0.2">
      <c r="A138" s="228">
        <v>114</v>
      </c>
      <c r="B138" s="229">
        <v>0.451013</v>
      </c>
      <c r="C138" s="229">
        <v>0.41061799999999998</v>
      </c>
      <c r="D138" s="229">
        <v>0.43636799999999998</v>
      </c>
      <c r="E138" s="229">
        <v>6.2507999999999994E-2</v>
      </c>
      <c r="F138" s="229">
        <v>0.172515</v>
      </c>
      <c r="G138" s="229">
        <v>0.80040699999999998</v>
      </c>
      <c r="H138" s="230">
        <f>Proj_Inputs!$B$44+(Proj_Inputs!$C$44-Proj_Inputs!$B$44)*B138</f>
        <v>-9.7973999999999978E-3</v>
      </c>
      <c r="I138" s="230">
        <f>Proj_Inputs!$B$45+(Proj_Inputs!$C$45-Proj_Inputs!$B$45)*C138</f>
        <v>-7.1505600000000002E-3</v>
      </c>
      <c r="J138" s="230">
        <f>Proj_Inputs!$B$46+(Proj_Inputs!$C$46-Proj_Inputs!$B$46)*D138</f>
        <v>-6.2726399999999988E-2</v>
      </c>
      <c r="K138" s="230">
        <f>Proj_Inputs!$B$47+(Proj_Inputs!$C$47-Proj_Inputs!$B$47)*E138</f>
        <v>-3.4373000000000001E-2</v>
      </c>
      <c r="L138" s="230">
        <f>Proj_Inputs!$B$46+(Proj_Inputs!$C$46-Proj_Inputs!$B$46)*F138</f>
        <v>-0.11549699999999999</v>
      </c>
      <c r="M138" s="230">
        <f>Proj_Inputs!$B$47+(Proj_Inputs!$C$47-Proj_Inputs!$B$47)*G138</f>
        <v>0.15010174999999998</v>
      </c>
      <c r="N138" s="231">
        <f>(1+H138)*(Proj_Inputs!$B$20+J138)/Proj_Inputs!$B$20*((Proj_Inputs!$B$21+I138)*(1-Proj_Inputs!$B$24)*NPV_Pirelli!$B$47+NPV_Pirelli!$B$49)+(1+K138)*NPV_Pirelli!$B$48</f>
        <v>297.59668119940989</v>
      </c>
      <c r="O138" s="231">
        <f>(1+H138)*(Proj_Inputs!$C$20+L138)/Proj_Inputs!$C$20*((Proj_Inputs!$C$21+I138)*(1-Proj_Inputs!$C$24)*NPV_Hankook!$B$47+NPV_Hankook!$B$49)+(1+M138)*NPV_Hankook!$B$48</f>
        <v>-453.5915717301358</v>
      </c>
    </row>
    <row r="139" spans="1:15" x14ac:dyDescent="0.2">
      <c r="A139" s="228">
        <v>115</v>
      </c>
      <c r="B139" s="229">
        <v>0.66941200000000001</v>
      </c>
      <c r="C139" s="229">
        <v>0.56313500000000005</v>
      </c>
      <c r="D139" s="229">
        <v>0.76510299999999998</v>
      </c>
      <c r="E139" s="229">
        <v>0.99198500000000001</v>
      </c>
      <c r="F139" s="229">
        <v>0.81922600000000001</v>
      </c>
      <c r="G139" s="229">
        <v>0.75562799999999997</v>
      </c>
      <c r="H139" s="230">
        <f>Proj_Inputs!$B$44+(Proj_Inputs!$C$44-Proj_Inputs!$B$44)*B139</f>
        <v>3.3882400000000007E-2</v>
      </c>
      <c r="I139" s="230">
        <f>Proj_Inputs!$B$45+(Proj_Inputs!$C$45-Proj_Inputs!$B$45)*C139</f>
        <v>5.0508000000000011E-3</v>
      </c>
      <c r="J139" s="230">
        <f>Proj_Inputs!$B$46+(Proj_Inputs!$C$46-Proj_Inputs!$B$46)*D139</f>
        <v>3.0206000000000122E-3</v>
      </c>
      <c r="K139" s="230">
        <f>Proj_Inputs!$B$47+(Proj_Inputs!$C$47-Proj_Inputs!$B$47)*E139</f>
        <v>0.19799624999999998</v>
      </c>
      <c r="L139" s="230">
        <f>Proj_Inputs!$B$46+(Proj_Inputs!$C$46-Proj_Inputs!$B$46)*F139</f>
        <v>1.384520000000003E-2</v>
      </c>
      <c r="M139" s="230">
        <f>Proj_Inputs!$B$47+(Proj_Inputs!$C$47-Proj_Inputs!$B$47)*G139</f>
        <v>0.138907</v>
      </c>
      <c r="N139" s="231">
        <f>(1+H139)*(Proj_Inputs!$B$20+J139)/Proj_Inputs!$B$20*((Proj_Inputs!$B$21+I139)*(1-Proj_Inputs!$B$24)*NPV_Pirelli!$B$47+NPV_Pirelli!$B$49)+(1+K139)*NPV_Pirelli!$B$48</f>
        <v>326.22955065438953</v>
      </c>
      <c r="O139" s="231">
        <f>(1+H139)*(Proj_Inputs!$C$20+L139)/Proj_Inputs!$C$20*((Proj_Inputs!$C$21+I139)*(1-Proj_Inputs!$C$24)*NPV_Hankook!$B$47+NPV_Hankook!$B$49)+(1+M139)*NPV_Hankook!$B$48</f>
        <v>-161.54551239058173</v>
      </c>
    </row>
    <row r="140" spans="1:15" x14ac:dyDescent="0.2">
      <c r="A140" s="228">
        <v>116</v>
      </c>
      <c r="B140" s="229">
        <v>0.71502500000000002</v>
      </c>
      <c r="C140" s="229">
        <v>0.55808199999999997</v>
      </c>
      <c r="D140" s="229">
        <v>0.90958099999999997</v>
      </c>
      <c r="E140" s="229">
        <v>0.90271900000000005</v>
      </c>
      <c r="F140" s="229">
        <v>0.49730099999999999</v>
      </c>
      <c r="G140" s="229">
        <v>0.228906</v>
      </c>
      <c r="H140" s="230">
        <f>Proj_Inputs!$B$44+(Proj_Inputs!$C$44-Proj_Inputs!$B$44)*B140</f>
        <v>4.3005000000000015E-2</v>
      </c>
      <c r="I140" s="230">
        <f>Proj_Inputs!$B$45+(Proj_Inputs!$C$45-Proj_Inputs!$B$45)*C140</f>
        <v>4.646559999999994E-3</v>
      </c>
      <c r="J140" s="230">
        <f>Proj_Inputs!$B$46+(Proj_Inputs!$C$46-Proj_Inputs!$B$46)*D140</f>
        <v>3.1916200000000006E-2</v>
      </c>
      <c r="K140" s="230">
        <f>Proj_Inputs!$B$47+(Proj_Inputs!$C$47-Proj_Inputs!$B$47)*E140</f>
        <v>0.17567975000000002</v>
      </c>
      <c r="L140" s="230">
        <f>Proj_Inputs!$B$46+(Proj_Inputs!$C$46-Proj_Inputs!$B$46)*F140</f>
        <v>-5.0539799999999996E-2</v>
      </c>
      <c r="M140" s="230">
        <f>Proj_Inputs!$B$47+(Proj_Inputs!$C$47-Proj_Inputs!$B$47)*G140</f>
        <v>7.2264999999999968E-3</v>
      </c>
      <c r="N140" s="231">
        <f>(1+H140)*(Proj_Inputs!$B$20+J140)/Proj_Inputs!$B$20*((Proj_Inputs!$B$21+I140)*(1-Proj_Inputs!$B$24)*NPV_Pirelli!$B$47+NPV_Pirelli!$B$49)+(1+K140)*NPV_Pirelli!$B$48</f>
        <v>393.35258000778958</v>
      </c>
      <c r="O140" s="231">
        <f>(1+H140)*(Proj_Inputs!$C$20+L140)/Proj_Inputs!$C$20*((Proj_Inputs!$C$21+I140)*(1-Proj_Inputs!$C$24)*NPV_Hankook!$B$47+NPV_Hankook!$B$49)+(1+M140)*NPV_Hankook!$B$48</f>
        <v>-83.510162211415036</v>
      </c>
    </row>
    <row r="141" spans="1:15" x14ac:dyDescent="0.2">
      <c r="A141" s="228">
        <v>117</v>
      </c>
      <c r="B141" s="229">
        <v>0.38047300000000001</v>
      </c>
      <c r="C141" s="229">
        <v>0.18185699999999999</v>
      </c>
      <c r="D141" s="229">
        <v>0.37654900000000002</v>
      </c>
      <c r="E141" s="229">
        <v>0.13850000000000001</v>
      </c>
      <c r="F141" s="229">
        <v>0.38442199999999999</v>
      </c>
      <c r="G141" s="229">
        <v>0.18256500000000001</v>
      </c>
      <c r="H141" s="230">
        <f>Proj_Inputs!$B$44+(Proj_Inputs!$C$44-Proj_Inputs!$B$44)*B141</f>
        <v>-2.3905399999999993E-2</v>
      </c>
      <c r="I141" s="230">
        <f>Proj_Inputs!$B$45+(Proj_Inputs!$C$45-Proj_Inputs!$B$45)*C141</f>
        <v>-2.5451439999999999E-2</v>
      </c>
      <c r="J141" s="230">
        <f>Proj_Inputs!$B$46+(Proj_Inputs!$C$46-Proj_Inputs!$B$46)*D141</f>
        <v>-7.4690199999999984E-2</v>
      </c>
      <c r="K141" s="230">
        <f>Proj_Inputs!$B$47+(Proj_Inputs!$C$47-Proj_Inputs!$B$47)*E141</f>
        <v>-1.5375E-2</v>
      </c>
      <c r="L141" s="230">
        <f>Proj_Inputs!$B$46+(Proj_Inputs!$C$46-Proj_Inputs!$B$46)*F141</f>
        <v>-7.3115599999999989E-2</v>
      </c>
      <c r="M141" s="230">
        <f>Proj_Inputs!$B$47+(Proj_Inputs!$C$47-Proj_Inputs!$B$47)*G141</f>
        <v>-4.3587500000000015E-3</v>
      </c>
      <c r="N141" s="231">
        <f>(1+H141)*(Proj_Inputs!$B$20+J141)/Proj_Inputs!$B$20*((Proj_Inputs!$B$21+I141)*(1-Proj_Inputs!$B$24)*NPV_Pirelli!$B$47+NPV_Pirelli!$B$49)+(1+K141)*NPV_Pirelli!$B$48</f>
        <v>151.28394972119861</v>
      </c>
      <c r="O141" s="231">
        <f>(1+H141)*(Proj_Inputs!$C$20+L141)/Proj_Inputs!$C$20*((Proj_Inputs!$C$21+I141)*(1-Proj_Inputs!$C$24)*NPV_Hankook!$B$47+NPV_Hankook!$B$49)+(1+M141)*NPV_Hankook!$B$48</f>
        <v>-351.88796032194136</v>
      </c>
    </row>
    <row r="142" spans="1:15" x14ac:dyDescent="0.2">
      <c r="A142" s="228">
        <v>118</v>
      </c>
      <c r="B142" s="229">
        <v>0.86792199999999997</v>
      </c>
      <c r="C142" s="229">
        <v>0.69965599999999994</v>
      </c>
      <c r="D142" s="229">
        <v>0.36092299999999999</v>
      </c>
      <c r="E142" s="229">
        <v>0.93223100000000003</v>
      </c>
      <c r="F142" s="229">
        <v>0.98912999999999995</v>
      </c>
      <c r="G142" s="229">
        <v>8.004E-2</v>
      </c>
      <c r="H142" s="230">
        <f>Proj_Inputs!$B$44+(Proj_Inputs!$C$44-Proj_Inputs!$B$44)*B142</f>
        <v>7.3584399999999994E-2</v>
      </c>
      <c r="I142" s="230">
        <f>Proj_Inputs!$B$45+(Proj_Inputs!$C$45-Proj_Inputs!$B$45)*C142</f>
        <v>1.5972479999999997E-2</v>
      </c>
      <c r="J142" s="230">
        <f>Proj_Inputs!$B$46+(Proj_Inputs!$C$46-Proj_Inputs!$B$46)*D142</f>
        <v>-7.7815399999999993E-2</v>
      </c>
      <c r="K142" s="230">
        <f>Proj_Inputs!$B$47+(Proj_Inputs!$C$47-Proj_Inputs!$B$47)*E142</f>
        <v>0.18305775000000002</v>
      </c>
      <c r="L142" s="230">
        <f>Proj_Inputs!$B$46+(Proj_Inputs!$C$46-Proj_Inputs!$B$46)*F142</f>
        <v>4.7826000000000007E-2</v>
      </c>
      <c r="M142" s="230">
        <f>Proj_Inputs!$B$47+(Proj_Inputs!$C$47-Proj_Inputs!$B$47)*G142</f>
        <v>-2.9990000000000003E-2</v>
      </c>
      <c r="N142" s="231">
        <f>(1+H142)*(Proj_Inputs!$B$20+J142)/Proj_Inputs!$B$20*((Proj_Inputs!$B$21+I142)*(1-Proj_Inputs!$B$24)*NPV_Pirelli!$B$47+NPV_Pirelli!$B$49)+(1+K142)*NPV_Pirelli!$B$48</f>
        <v>334.94986117434462</v>
      </c>
      <c r="O142" s="231">
        <f>(1+H142)*(Proj_Inputs!$C$20+L142)/Proj_Inputs!$C$20*((Proj_Inputs!$C$21+I142)*(1-Proj_Inputs!$C$24)*NPV_Hankook!$B$47+NPV_Hankook!$B$49)+(1+M142)*NPV_Hankook!$B$48</f>
        <v>209.15311206240608</v>
      </c>
    </row>
    <row r="143" spans="1:15" x14ac:dyDescent="0.2">
      <c r="A143" s="228">
        <v>119</v>
      </c>
      <c r="B143" s="229">
        <v>0.236682</v>
      </c>
      <c r="C143" s="229">
        <v>0.94796899999999995</v>
      </c>
      <c r="D143" s="229">
        <v>0.726881</v>
      </c>
      <c r="E143" s="229">
        <v>0.13525899999999999</v>
      </c>
      <c r="F143" s="229">
        <v>0.719337</v>
      </c>
      <c r="G143" s="229">
        <v>0.48072700000000002</v>
      </c>
      <c r="H143" s="230">
        <f>Proj_Inputs!$B$44+(Proj_Inputs!$C$44-Proj_Inputs!$B$44)*B143</f>
        <v>-5.2663600000000005E-2</v>
      </c>
      <c r="I143" s="230">
        <f>Proj_Inputs!$B$45+(Proj_Inputs!$C$45-Proj_Inputs!$B$45)*C143</f>
        <v>3.5837519999999991E-2</v>
      </c>
      <c r="J143" s="230">
        <f>Proj_Inputs!$B$46+(Proj_Inputs!$C$46-Proj_Inputs!$B$46)*D143</f>
        <v>-4.6237999999999835E-3</v>
      </c>
      <c r="K143" s="230">
        <f>Proj_Inputs!$B$47+(Proj_Inputs!$C$47-Proj_Inputs!$B$47)*E143</f>
        <v>-1.6185250000000005E-2</v>
      </c>
      <c r="L143" s="230">
        <f>Proj_Inputs!$B$46+(Proj_Inputs!$C$46-Proj_Inputs!$B$46)*F143</f>
        <v>-6.1325999999999881E-3</v>
      </c>
      <c r="M143" s="230">
        <f>Proj_Inputs!$B$47+(Proj_Inputs!$C$47-Proj_Inputs!$B$47)*G143</f>
        <v>7.0181750000000001E-2</v>
      </c>
      <c r="N143" s="231">
        <f>(1+H143)*(Proj_Inputs!$B$20+J143)/Proj_Inputs!$B$20*((Proj_Inputs!$B$21+I143)*(1-Proj_Inputs!$B$24)*NPV_Pirelli!$B$47+NPV_Pirelli!$B$49)+(1+K143)*NPV_Pirelli!$B$48</f>
        <v>558.35113250275822</v>
      </c>
      <c r="O143" s="231">
        <f>(1+H143)*(Proj_Inputs!$C$20+L143)/Proj_Inputs!$C$20*((Proj_Inputs!$C$21+I143)*(1-Proj_Inputs!$C$24)*NPV_Hankook!$B$47+NPV_Hankook!$B$49)+(1+M143)*NPV_Hankook!$B$48</f>
        <v>-3.7707809001983605</v>
      </c>
    </row>
    <row r="144" spans="1:15" x14ac:dyDescent="0.2">
      <c r="A144" s="228">
        <v>120</v>
      </c>
      <c r="B144" s="229">
        <v>0.43470700000000001</v>
      </c>
      <c r="C144" s="229">
        <v>0.35747099999999998</v>
      </c>
      <c r="D144" s="229">
        <v>5.1061000000000002E-2</v>
      </c>
      <c r="E144" s="229">
        <v>0.27889999999999998</v>
      </c>
      <c r="F144" s="229">
        <v>0.49065900000000001</v>
      </c>
      <c r="G144" s="229">
        <v>0.97843599999999997</v>
      </c>
      <c r="H144" s="230">
        <f>Proj_Inputs!$B$44+(Proj_Inputs!$C$44-Proj_Inputs!$B$44)*B144</f>
        <v>-1.3058600000000004E-2</v>
      </c>
      <c r="I144" s="230">
        <f>Proj_Inputs!$B$45+(Proj_Inputs!$C$45-Proj_Inputs!$B$45)*C144</f>
        <v>-1.1402320000000001E-2</v>
      </c>
      <c r="J144" s="230">
        <f>Proj_Inputs!$B$46+(Proj_Inputs!$C$46-Proj_Inputs!$B$46)*D144</f>
        <v>-0.13978779999999999</v>
      </c>
      <c r="K144" s="230">
        <f>Proj_Inputs!$B$47+(Proj_Inputs!$C$47-Proj_Inputs!$B$47)*E144</f>
        <v>1.9724999999999993E-2</v>
      </c>
      <c r="L144" s="230">
        <f>Proj_Inputs!$B$46+(Proj_Inputs!$C$46-Proj_Inputs!$B$46)*F144</f>
        <v>-5.1868199999999989E-2</v>
      </c>
      <c r="M144" s="230">
        <f>Proj_Inputs!$B$47+(Proj_Inputs!$C$47-Proj_Inputs!$B$47)*G144</f>
        <v>0.19460899999999998</v>
      </c>
      <c r="N144" s="231">
        <f>(1+H144)*(Proj_Inputs!$B$20+J144)/Proj_Inputs!$B$20*((Proj_Inputs!$B$21+I144)*(1-Proj_Inputs!$B$24)*NPV_Pirelli!$B$47+NPV_Pirelli!$B$49)+(1+K144)*NPV_Pirelli!$B$48</f>
        <v>132.40074805681763</v>
      </c>
      <c r="O144" s="231">
        <f>(1+H144)*(Proj_Inputs!$C$20+L144)/Proj_Inputs!$C$20*((Proj_Inputs!$C$21+I144)*(1-Proj_Inputs!$C$24)*NPV_Hankook!$B$47+NPV_Hankook!$B$49)+(1+M144)*NPV_Hankook!$B$48</f>
        <v>-463.89064777466808</v>
      </c>
    </row>
    <row r="145" spans="1:15" x14ac:dyDescent="0.2">
      <c r="A145" s="228">
        <v>121</v>
      </c>
      <c r="B145" s="229">
        <v>0.97574799999999995</v>
      </c>
      <c r="C145" s="229">
        <v>0.87243800000000005</v>
      </c>
      <c r="D145" s="229">
        <v>0.51911099999999999</v>
      </c>
      <c r="E145" s="229">
        <v>0.61319000000000001</v>
      </c>
      <c r="F145" s="229">
        <v>0.50534999999999997</v>
      </c>
      <c r="G145" s="229">
        <v>0.18154200000000001</v>
      </c>
      <c r="H145" s="230">
        <f>Proj_Inputs!$B$44+(Proj_Inputs!$C$44-Proj_Inputs!$B$44)*B145</f>
        <v>9.5149600000000001E-2</v>
      </c>
      <c r="I145" s="230">
        <f>Proj_Inputs!$B$45+(Proj_Inputs!$C$45-Proj_Inputs!$B$45)*C145</f>
        <v>2.9795040000000002E-2</v>
      </c>
      <c r="J145" s="230">
        <f>Proj_Inputs!$B$46+(Proj_Inputs!$C$46-Proj_Inputs!$B$46)*D145</f>
        <v>-4.6177799999999991E-2</v>
      </c>
      <c r="K145" s="230">
        <f>Proj_Inputs!$B$47+(Proj_Inputs!$C$47-Proj_Inputs!$B$47)*E145</f>
        <v>0.1032975</v>
      </c>
      <c r="L145" s="230">
        <f>Proj_Inputs!$B$46+(Proj_Inputs!$C$46-Proj_Inputs!$B$46)*F145</f>
        <v>-4.8930000000000001E-2</v>
      </c>
      <c r="M145" s="230">
        <f>Proj_Inputs!$B$47+(Proj_Inputs!$C$47-Proj_Inputs!$B$47)*G145</f>
        <v>-4.6145000000000005E-3</v>
      </c>
      <c r="N145" s="231">
        <f>(1+H145)*(Proj_Inputs!$B$20+J145)/Proj_Inputs!$B$20*((Proj_Inputs!$B$21+I145)*(1-Proj_Inputs!$B$24)*NPV_Pirelli!$B$47+NPV_Pirelli!$B$49)+(1+K145)*NPV_Pirelli!$B$48</f>
        <v>561.88901232606713</v>
      </c>
      <c r="O145" s="231">
        <f>(1+H145)*(Proj_Inputs!$C$20+L145)/Proj_Inputs!$C$20*((Proj_Inputs!$C$21+I145)*(1-Proj_Inputs!$C$24)*NPV_Hankook!$B$47+NPV_Hankook!$B$49)+(1+M145)*NPV_Hankook!$B$48</f>
        <v>165.31841694931109</v>
      </c>
    </row>
    <row r="146" spans="1:15" x14ac:dyDescent="0.2">
      <c r="A146" s="228">
        <v>122</v>
      </c>
      <c r="B146" s="229">
        <v>0.86918700000000004</v>
      </c>
      <c r="C146" s="229">
        <v>0.89447100000000002</v>
      </c>
      <c r="D146" s="229">
        <v>0.741282</v>
      </c>
      <c r="E146" s="229">
        <v>7.5078000000000006E-2</v>
      </c>
      <c r="F146" s="229">
        <v>2.461E-2</v>
      </c>
      <c r="G146" s="229">
        <v>0.48905300000000002</v>
      </c>
      <c r="H146" s="230">
        <f>Proj_Inputs!$B$44+(Proj_Inputs!$C$44-Proj_Inputs!$B$44)*B146</f>
        <v>7.3837400000000025E-2</v>
      </c>
      <c r="I146" s="230">
        <f>Proj_Inputs!$B$45+(Proj_Inputs!$C$45-Proj_Inputs!$B$45)*C146</f>
        <v>3.1557679999999998E-2</v>
      </c>
      <c r="J146" s="230">
        <f>Proj_Inputs!$B$46+(Proj_Inputs!$C$46-Proj_Inputs!$B$46)*D146</f>
        <v>-1.7435999999999841E-3</v>
      </c>
      <c r="K146" s="230">
        <f>Proj_Inputs!$B$47+(Proj_Inputs!$C$47-Proj_Inputs!$B$47)*E146</f>
        <v>-3.1230500000000001E-2</v>
      </c>
      <c r="L146" s="230">
        <f>Proj_Inputs!$B$46+(Proj_Inputs!$C$46-Proj_Inputs!$B$46)*F146</f>
        <v>-0.14507799999999998</v>
      </c>
      <c r="M146" s="230">
        <f>Proj_Inputs!$B$47+(Proj_Inputs!$C$47-Proj_Inputs!$B$47)*G146</f>
        <v>7.2263250000000001E-2</v>
      </c>
      <c r="N146" s="231">
        <f>(1+H146)*(Proj_Inputs!$B$20+J146)/Proj_Inputs!$B$20*((Proj_Inputs!$B$21+I146)*(1-Proj_Inputs!$B$24)*NPV_Pirelli!$B$47+NPV_Pirelli!$B$49)+(1+K146)*NPV_Pirelli!$B$48</f>
        <v>724.8257957615931</v>
      </c>
      <c r="O146" s="231">
        <f>(1+H146)*(Proj_Inputs!$C$20+L146)/Proj_Inputs!$C$20*((Proj_Inputs!$C$21+I146)*(1-Proj_Inputs!$C$24)*NPV_Hankook!$B$47+NPV_Hankook!$B$49)+(1+M146)*NPV_Hankook!$B$48</f>
        <v>-85.567975990032664</v>
      </c>
    </row>
    <row r="147" spans="1:15" x14ac:dyDescent="0.2">
      <c r="A147" s="228">
        <v>123</v>
      </c>
      <c r="B147" s="229">
        <v>5.1484000000000002E-2</v>
      </c>
      <c r="C147" s="229">
        <v>0.59675</v>
      </c>
      <c r="D147" s="229">
        <v>0.31221700000000002</v>
      </c>
      <c r="E147" s="229">
        <v>0.28811300000000001</v>
      </c>
      <c r="F147" s="229">
        <v>0.37949699999999997</v>
      </c>
      <c r="G147" s="229">
        <v>0.61201799999999995</v>
      </c>
      <c r="H147" s="230">
        <f>Proj_Inputs!$B$44+(Proj_Inputs!$C$44-Proj_Inputs!$B$44)*B147</f>
        <v>-8.9703200000000011E-2</v>
      </c>
      <c r="I147" s="230">
        <f>Proj_Inputs!$B$45+(Proj_Inputs!$C$45-Proj_Inputs!$B$45)*C147</f>
        <v>7.7400000000000038E-3</v>
      </c>
      <c r="J147" s="230">
        <f>Proj_Inputs!$B$46+(Proj_Inputs!$C$46-Proj_Inputs!$B$46)*D147</f>
        <v>-8.7556599999999984E-2</v>
      </c>
      <c r="K147" s="230">
        <f>Proj_Inputs!$B$47+(Proj_Inputs!$C$47-Proj_Inputs!$B$47)*E147</f>
        <v>2.2028249999999999E-2</v>
      </c>
      <c r="L147" s="230">
        <f>Proj_Inputs!$B$46+(Proj_Inputs!$C$46-Proj_Inputs!$B$46)*F147</f>
        <v>-7.4100599999999989E-2</v>
      </c>
      <c r="M147" s="230">
        <f>Proj_Inputs!$B$47+(Proj_Inputs!$C$47-Proj_Inputs!$B$47)*G147</f>
        <v>0.10300449999999998</v>
      </c>
      <c r="N147" s="231">
        <f>(1+H147)*(Proj_Inputs!$B$20+J147)/Proj_Inputs!$B$20*((Proj_Inputs!$B$21+I147)*(1-Proj_Inputs!$B$24)*NPV_Pirelli!$B$47+NPV_Pirelli!$B$49)+(1+K147)*NPV_Pirelli!$B$48</f>
        <v>214.51539161989785</v>
      </c>
      <c r="O147" s="231">
        <f>(1+H147)*(Proj_Inputs!$C$20+L147)/Proj_Inputs!$C$20*((Proj_Inputs!$C$21+I147)*(1-Proj_Inputs!$C$24)*NPV_Hankook!$B$47+NPV_Hankook!$B$49)+(1+M147)*NPV_Hankook!$B$48</f>
        <v>-342.02152028232376</v>
      </c>
    </row>
    <row r="148" spans="1:15" x14ac:dyDescent="0.2">
      <c r="A148" s="228">
        <v>124</v>
      </c>
      <c r="B148" s="229">
        <v>5.9389999999999998E-2</v>
      </c>
      <c r="C148" s="229">
        <v>0.92125199999999996</v>
      </c>
      <c r="D148" s="229">
        <v>0.99463100000000004</v>
      </c>
      <c r="E148" s="229">
        <v>0.53842100000000004</v>
      </c>
      <c r="F148" s="229">
        <v>0.246227</v>
      </c>
      <c r="G148" s="229">
        <v>0.73367400000000005</v>
      </c>
      <c r="H148" s="230">
        <f>Proj_Inputs!$B$44+(Proj_Inputs!$C$44-Proj_Inputs!$B$44)*B148</f>
        <v>-8.8122000000000006E-2</v>
      </c>
      <c r="I148" s="230">
        <f>Proj_Inputs!$B$45+(Proj_Inputs!$C$45-Proj_Inputs!$B$45)*C148</f>
        <v>3.370016E-2</v>
      </c>
      <c r="J148" s="230">
        <f>Proj_Inputs!$B$46+(Proj_Inputs!$C$46-Proj_Inputs!$B$46)*D148</f>
        <v>4.8926200000000031E-2</v>
      </c>
      <c r="K148" s="230">
        <f>Proj_Inputs!$B$47+(Proj_Inputs!$C$47-Proj_Inputs!$B$47)*E148</f>
        <v>8.4605250000000007E-2</v>
      </c>
      <c r="L148" s="230">
        <f>Proj_Inputs!$B$46+(Proj_Inputs!$C$46-Proj_Inputs!$B$46)*F148</f>
        <v>-0.1007546</v>
      </c>
      <c r="M148" s="230">
        <f>Proj_Inputs!$B$47+(Proj_Inputs!$C$47-Proj_Inputs!$B$47)*G148</f>
        <v>0.1334185</v>
      </c>
      <c r="N148" s="231">
        <f>(1+H148)*(Proj_Inputs!$B$20+J148)/Proj_Inputs!$B$20*((Proj_Inputs!$B$21+I148)*(1-Proj_Inputs!$B$24)*NPV_Pirelli!$B$47+NPV_Pirelli!$B$49)+(1+K148)*NPV_Pirelli!$B$48</f>
        <v>493.04507249618882</v>
      </c>
      <c r="O148" s="231">
        <f>(1+H148)*(Proj_Inputs!$C$20+L148)/Proj_Inputs!$C$20*((Proj_Inputs!$C$21+I148)*(1-Proj_Inputs!$C$24)*NPV_Hankook!$B$47+NPV_Hankook!$B$49)+(1+M148)*NPV_Hankook!$B$48</f>
        <v>-262.12255648177165</v>
      </c>
    </row>
    <row r="149" spans="1:15" x14ac:dyDescent="0.2">
      <c r="A149" s="228">
        <v>125</v>
      </c>
      <c r="B149" s="229">
        <v>0.40772199999999997</v>
      </c>
      <c r="C149" s="229">
        <v>5.5758000000000002E-2</v>
      </c>
      <c r="D149" s="229">
        <v>0.34350999999999998</v>
      </c>
      <c r="E149" s="229">
        <v>8.3481E-2</v>
      </c>
      <c r="F149" s="229">
        <v>3.3057999999999997E-2</v>
      </c>
      <c r="G149" s="229">
        <v>0.25518099999999999</v>
      </c>
      <c r="H149" s="230">
        <f>Proj_Inputs!$B$44+(Proj_Inputs!$C$44-Proj_Inputs!$B$44)*B149</f>
        <v>-1.8455600000000003E-2</v>
      </c>
      <c r="I149" s="230">
        <f>Proj_Inputs!$B$45+(Proj_Inputs!$C$45-Proj_Inputs!$B$45)*C149</f>
        <v>-3.5539359999999999E-2</v>
      </c>
      <c r="J149" s="230">
        <f>Proj_Inputs!$B$46+(Proj_Inputs!$C$46-Proj_Inputs!$B$46)*D149</f>
        <v>-8.1297999999999995E-2</v>
      </c>
      <c r="K149" s="230">
        <f>Proj_Inputs!$B$47+(Proj_Inputs!$C$47-Proj_Inputs!$B$47)*E149</f>
        <v>-2.9129750000000003E-2</v>
      </c>
      <c r="L149" s="230">
        <f>Proj_Inputs!$B$46+(Proj_Inputs!$C$46-Proj_Inputs!$B$46)*F149</f>
        <v>-0.1433884</v>
      </c>
      <c r="M149" s="230">
        <f>Proj_Inputs!$B$47+(Proj_Inputs!$C$47-Proj_Inputs!$B$47)*G149</f>
        <v>1.3795249999999995E-2</v>
      </c>
      <c r="N149" s="231">
        <f>(1+H149)*(Proj_Inputs!$B$20+J149)/Proj_Inputs!$B$20*((Proj_Inputs!$B$21+I149)*(1-Proj_Inputs!$B$24)*NPV_Pirelli!$B$47+NPV_Pirelli!$B$49)+(1+K149)*NPV_Pirelli!$B$48</f>
        <v>104.11768047958742</v>
      </c>
      <c r="O149" s="231">
        <f>(1+H149)*(Proj_Inputs!$C$20+L149)/Proj_Inputs!$C$20*((Proj_Inputs!$C$21+I149)*(1-Proj_Inputs!$C$24)*NPV_Hankook!$B$47+NPV_Hankook!$B$49)+(1+M149)*NPV_Hankook!$B$48</f>
        <v>-494.46190215732474</v>
      </c>
    </row>
    <row r="150" spans="1:15" x14ac:dyDescent="0.2">
      <c r="A150" s="228">
        <v>126</v>
      </c>
      <c r="B150" s="229">
        <v>0.62559699999999996</v>
      </c>
      <c r="C150" s="229">
        <v>0.66065399999999996</v>
      </c>
      <c r="D150" s="229">
        <v>0.803338</v>
      </c>
      <c r="E150" s="229">
        <v>0.57369700000000001</v>
      </c>
      <c r="F150" s="229">
        <v>0.65140399999999998</v>
      </c>
      <c r="G150" s="229">
        <v>0.50397199999999998</v>
      </c>
      <c r="H150" s="230">
        <f>Proj_Inputs!$B$44+(Proj_Inputs!$C$44-Proj_Inputs!$B$44)*B150</f>
        <v>2.5119399999999986E-2</v>
      </c>
      <c r="I150" s="230">
        <f>Proj_Inputs!$B$45+(Proj_Inputs!$C$45-Proj_Inputs!$B$45)*C150</f>
        <v>1.285232E-2</v>
      </c>
      <c r="J150" s="230">
        <f>Proj_Inputs!$B$46+(Proj_Inputs!$C$46-Proj_Inputs!$B$46)*D150</f>
        <v>1.0667600000000027E-2</v>
      </c>
      <c r="K150" s="230">
        <f>Proj_Inputs!$B$47+(Proj_Inputs!$C$47-Proj_Inputs!$B$47)*E150</f>
        <v>9.342425E-2</v>
      </c>
      <c r="L150" s="230">
        <f>Proj_Inputs!$B$46+(Proj_Inputs!$C$46-Proj_Inputs!$B$46)*F150</f>
        <v>-1.9719199999999992E-2</v>
      </c>
      <c r="M150" s="230">
        <f>Proj_Inputs!$B$47+(Proj_Inputs!$C$47-Proj_Inputs!$B$47)*G150</f>
        <v>7.5992999999999991E-2</v>
      </c>
      <c r="N150" s="231">
        <f>(1+H150)*(Proj_Inputs!$B$20+J150)/Proj_Inputs!$B$20*((Proj_Inputs!$B$21+I150)*(1-Proj_Inputs!$B$24)*NPV_Pirelli!$B$47+NPV_Pirelli!$B$49)+(1+K150)*NPV_Pirelli!$B$48</f>
        <v>458.62825930613951</v>
      </c>
      <c r="O150" s="231">
        <f>(1+H150)*(Proj_Inputs!$C$20+L150)/Proj_Inputs!$C$20*((Proj_Inputs!$C$21+I150)*(1-Proj_Inputs!$C$24)*NPV_Hankook!$B$47+NPV_Hankook!$B$49)+(1+M150)*NPV_Hankook!$B$48</f>
        <v>-86.976590700788165</v>
      </c>
    </row>
    <row r="151" spans="1:15" x14ac:dyDescent="0.2">
      <c r="A151" s="228">
        <v>127</v>
      </c>
      <c r="B151" s="229">
        <v>0.87844599999999995</v>
      </c>
      <c r="C151" s="229">
        <v>0.92169000000000001</v>
      </c>
      <c r="D151" s="229">
        <v>0.60397400000000001</v>
      </c>
      <c r="E151" s="229">
        <v>0.84038599999999997</v>
      </c>
      <c r="F151" s="229">
        <v>0.89177300000000004</v>
      </c>
      <c r="G151" s="229">
        <v>0.47617300000000001</v>
      </c>
      <c r="H151" s="230">
        <f>Proj_Inputs!$B$44+(Proj_Inputs!$C$44-Proj_Inputs!$B$44)*B151</f>
        <v>7.5689199999999984E-2</v>
      </c>
      <c r="I151" s="230">
        <f>Proj_Inputs!$B$45+(Proj_Inputs!$C$45-Proj_Inputs!$B$45)*C151</f>
        <v>3.37352E-2</v>
      </c>
      <c r="J151" s="230">
        <f>Proj_Inputs!$B$46+(Proj_Inputs!$C$46-Proj_Inputs!$B$46)*D151</f>
        <v>-2.9205199999999987E-2</v>
      </c>
      <c r="K151" s="230">
        <f>Proj_Inputs!$B$47+(Proj_Inputs!$C$47-Proj_Inputs!$B$47)*E151</f>
        <v>0.16009649999999997</v>
      </c>
      <c r="L151" s="230">
        <f>Proj_Inputs!$B$46+(Proj_Inputs!$C$46-Proj_Inputs!$B$46)*F151</f>
        <v>2.8354600000000035E-2</v>
      </c>
      <c r="M151" s="230">
        <f>Proj_Inputs!$B$47+(Proj_Inputs!$C$47-Proj_Inputs!$B$47)*G151</f>
        <v>6.904325E-2</v>
      </c>
      <c r="N151" s="231">
        <f>(1+H151)*(Proj_Inputs!$B$20+J151)/Proj_Inputs!$B$20*((Proj_Inputs!$B$21+I151)*(1-Proj_Inputs!$B$24)*NPV_Pirelli!$B$47+NPV_Pirelli!$B$49)+(1+K151)*NPV_Pirelli!$B$48</f>
        <v>544.99352081367249</v>
      </c>
      <c r="O151" s="231">
        <f>(1+H151)*(Proj_Inputs!$C$20+L151)/Proj_Inputs!$C$20*((Proj_Inputs!$C$21+I151)*(1-Proj_Inputs!$C$24)*NPV_Hankook!$B$47+NPV_Hankook!$B$49)+(1+M151)*NPV_Hankook!$B$48</f>
        <v>204.10766032991</v>
      </c>
    </row>
    <row r="152" spans="1:15" x14ac:dyDescent="0.2">
      <c r="A152" s="228">
        <v>128</v>
      </c>
      <c r="B152" s="229">
        <v>0.463978</v>
      </c>
      <c r="C152" s="229">
        <v>0.381581</v>
      </c>
      <c r="D152" s="229">
        <v>0.51700299999999999</v>
      </c>
      <c r="E152" s="229">
        <v>0.18918499999999999</v>
      </c>
      <c r="F152" s="229">
        <v>0.38023400000000002</v>
      </c>
      <c r="G152" s="229">
        <v>0.49946400000000002</v>
      </c>
      <c r="H152" s="230">
        <f>Proj_Inputs!$B$44+(Proj_Inputs!$C$44-Proj_Inputs!$B$44)*B152</f>
        <v>-7.2043999999999997E-3</v>
      </c>
      <c r="I152" s="230">
        <f>Proj_Inputs!$B$45+(Proj_Inputs!$C$45-Proj_Inputs!$B$45)*C152</f>
        <v>-9.4735199999999992E-3</v>
      </c>
      <c r="J152" s="230">
        <f>Proj_Inputs!$B$46+(Proj_Inputs!$C$46-Proj_Inputs!$B$46)*D152</f>
        <v>-4.6599399999999985E-2</v>
      </c>
      <c r="K152" s="230">
        <f>Proj_Inputs!$B$47+(Proj_Inputs!$C$47-Proj_Inputs!$B$47)*E152</f>
        <v>-2.7037500000000048E-3</v>
      </c>
      <c r="L152" s="230">
        <f>Proj_Inputs!$B$46+(Proj_Inputs!$C$46-Proj_Inputs!$B$46)*F152</f>
        <v>-7.3953199999999983E-2</v>
      </c>
      <c r="M152" s="230">
        <f>Proj_Inputs!$B$47+(Proj_Inputs!$C$47-Proj_Inputs!$B$47)*G152</f>
        <v>7.4866000000000002E-2</v>
      </c>
      <c r="N152" s="231">
        <f>(1+H152)*(Proj_Inputs!$B$20+J152)/Proj_Inputs!$B$20*((Proj_Inputs!$B$21+I152)*(1-Proj_Inputs!$B$24)*NPV_Pirelli!$B$47+NPV_Pirelli!$B$49)+(1+K152)*NPV_Pirelli!$B$48</f>
        <v>282.32320747233155</v>
      </c>
      <c r="O152" s="231">
        <f>(1+H152)*(Proj_Inputs!$C$20+L152)/Proj_Inputs!$C$20*((Proj_Inputs!$C$21+I152)*(1-Proj_Inputs!$C$24)*NPV_Hankook!$B$47+NPV_Hankook!$B$49)+(1+M152)*NPV_Hankook!$B$48</f>
        <v>-331.30696472217187</v>
      </c>
    </row>
    <row r="153" spans="1:15" x14ac:dyDescent="0.2">
      <c r="A153" s="228">
        <v>129</v>
      </c>
      <c r="B153" s="229">
        <v>0.98488399999999998</v>
      </c>
      <c r="C153" s="229">
        <v>0.56594800000000001</v>
      </c>
      <c r="D153" s="229">
        <v>0.20163600000000001</v>
      </c>
      <c r="E153" s="229">
        <v>0.21098500000000001</v>
      </c>
      <c r="F153" s="229">
        <v>0.29505100000000001</v>
      </c>
      <c r="G153" s="229">
        <v>0.92546700000000004</v>
      </c>
      <c r="H153" s="230">
        <f>Proj_Inputs!$B$44+(Proj_Inputs!$C$44-Proj_Inputs!$B$44)*B153</f>
        <v>9.6976800000000002E-2</v>
      </c>
      <c r="I153" s="230">
        <f>Proj_Inputs!$B$45+(Proj_Inputs!$C$45-Proj_Inputs!$B$45)*C153</f>
        <v>5.2758400000000039E-3</v>
      </c>
      <c r="J153" s="230">
        <f>Proj_Inputs!$B$46+(Proj_Inputs!$C$46-Proj_Inputs!$B$46)*D153</f>
        <v>-0.10967279999999999</v>
      </c>
      <c r="K153" s="230">
        <f>Proj_Inputs!$B$47+(Proj_Inputs!$C$47-Proj_Inputs!$B$47)*E153</f>
        <v>2.7462499999999987E-3</v>
      </c>
      <c r="L153" s="230">
        <f>Proj_Inputs!$B$46+(Proj_Inputs!$C$46-Proj_Inputs!$B$46)*F153</f>
        <v>-9.0989799999999982E-2</v>
      </c>
      <c r="M153" s="230">
        <f>Proj_Inputs!$B$47+(Proj_Inputs!$C$47-Proj_Inputs!$B$47)*G153</f>
        <v>0.18136675000000002</v>
      </c>
      <c r="N153" s="231">
        <f>(1+H153)*(Proj_Inputs!$B$20+J153)/Proj_Inputs!$B$20*((Proj_Inputs!$B$21+I153)*(1-Proj_Inputs!$B$24)*NPV_Pirelli!$B$47+NPV_Pirelli!$B$49)+(1+K153)*NPV_Pirelli!$B$48</f>
        <v>390.78870066609079</v>
      </c>
      <c r="O153" s="231">
        <f>(1+H153)*(Proj_Inputs!$C$20+L153)/Proj_Inputs!$C$20*((Proj_Inputs!$C$21+I153)*(1-Proj_Inputs!$C$24)*NPV_Hankook!$B$47+NPV_Hankook!$B$49)+(1+M153)*NPV_Hankook!$B$48</f>
        <v>-280.02561621509585</v>
      </c>
    </row>
    <row r="154" spans="1:15" x14ac:dyDescent="0.2">
      <c r="A154" s="228">
        <v>130</v>
      </c>
      <c r="B154" s="229">
        <v>0.393762</v>
      </c>
      <c r="C154" s="229">
        <v>2.1822999999999999E-2</v>
      </c>
      <c r="D154" s="229">
        <v>0.44466899999999998</v>
      </c>
      <c r="E154" s="229">
        <v>0.73892000000000002</v>
      </c>
      <c r="F154" s="229">
        <v>0.89729199999999998</v>
      </c>
      <c r="G154" s="229">
        <v>0.60452099999999998</v>
      </c>
      <c r="H154" s="230">
        <f>Proj_Inputs!$B$44+(Proj_Inputs!$C$44-Proj_Inputs!$B$44)*B154</f>
        <v>-2.1247600000000005E-2</v>
      </c>
      <c r="I154" s="230">
        <f>Proj_Inputs!$B$45+(Proj_Inputs!$C$45-Proj_Inputs!$B$45)*C154</f>
        <v>-3.8254160000000002E-2</v>
      </c>
      <c r="J154" s="230">
        <f>Proj_Inputs!$B$46+(Proj_Inputs!$C$46-Proj_Inputs!$B$46)*D154</f>
        <v>-6.1066199999999987E-2</v>
      </c>
      <c r="K154" s="230">
        <f>Proj_Inputs!$B$47+(Proj_Inputs!$C$47-Proj_Inputs!$B$47)*E154</f>
        <v>0.13473000000000002</v>
      </c>
      <c r="L154" s="230">
        <f>Proj_Inputs!$B$46+(Proj_Inputs!$C$46-Proj_Inputs!$B$46)*F154</f>
        <v>2.9458400000000023E-2</v>
      </c>
      <c r="M154" s="230">
        <f>Proj_Inputs!$B$47+(Proj_Inputs!$C$47-Proj_Inputs!$B$47)*G154</f>
        <v>0.10113024999999999</v>
      </c>
      <c r="N154" s="231">
        <f>(1+H154)*(Proj_Inputs!$B$20+J154)/Proj_Inputs!$B$20*((Proj_Inputs!$B$21+I154)*(1-Proj_Inputs!$B$24)*NPV_Pirelli!$B$47+NPV_Pirelli!$B$49)+(1+K154)*NPV_Pirelli!$B$48</f>
        <v>-21.430306243387463</v>
      </c>
      <c r="O154" s="231">
        <f>(1+H154)*(Proj_Inputs!$C$20+L154)/Proj_Inputs!$C$20*((Proj_Inputs!$C$21+I154)*(1-Proj_Inputs!$C$24)*NPV_Hankook!$B$47+NPV_Hankook!$B$49)+(1+M154)*NPV_Hankook!$B$48</f>
        <v>-460.7954134267311</v>
      </c>
    </row>
    <row r="155" spans="1:15" x14ac:dyDescent="0.2">
      <c r="A155" s="228">
        <v>131</v>
      </c>
      <c r="B155" s="229">
        <v>0.836947</v>
      </c>
      <c r="C155" s="229">
        <v>5.4720999999999999E-2</v>
      </c>
      <c r="D155" s="229">
        <v>0.99770199999999998</v>
      </c>
      <c r="E155" s="229">
        <v>0.94045900000000004</v>
      </c>
      <c r="F155" s="229">
        <v>0.88824899999999996</v>
      </c>
      <c r="G155" s="229">
        <v>0.32417299999999999</v>
      </c>
      <c r="H155" s="230">
        <f>Proj_Inputs!$B$44+(Proj_Inputs!$C$44-Proj_Inputs!$B$44)*B155</f>
        <v>6.7389400000000016E-2</v>
      </c>
      <c r="I155" s="230">
        <f>Proj_Inputs!$B$45+(Proj_Inputs!$C$45-Proj_Inputs!$B$45)*C155</f>
        <v>-3.5622319999999999E-2</v>
      </c>
      <c r="J155" s="230">
        <f>Proj_Inputs!$B$46+(Proj_Inputs!$C$46-Proj_Inputs!$B$46)*D155</f>
        <v>4.9540400000000012E-2</v>
      </c>
      <c r="K155" s="230">
        <f>Proj_Inputs!$B$47+(Proj_Inputs!$C$47-Proj_Inputs!$B$47)*E155</f>
        <v>0.18511474999999999</v>
      </c>
      <c r="L155" s="230">
        <f>Proj_Inputs!$B$46+(Proj_Inputs!$C$46-Proj_Inputs!$B$46)*F155</f>
        <v>2.7649800000000002E-2</v>
      </c>
      <c r="M155" s="230">
        <f>Proj_Inputs!$B$47+(Proj_Inputs!$C$47-Proj_Inputs!$B$47)*G155</f>
        <v>3.1043249999999994E-2</v>
      </c>
      <c r="N155" s="231">
        <f>(1+H155)*(Proj_Inputs!$B$20+J155)/Proj_Inputs!$B$20*((Proj_Inputs!$B$21+I155)*(1-Proj_Inputs!$B$24)*NPV_Pirelli!$B$47+NPV_Pirelli!$B$49)+(1+K155)*NPV_Pirelli!$B$48</f>
        <v>161.79612639596019</v>
      </c>
      <c r="O155" s="231">
        <f>(1+H155)*(Proj_Inputs!$C$20+L155)/Proj_Inputs!$C$20*((Proj_Inputs!$C$21+I155)*(1-Proj_Inputs!$C$24)*NPV_Hankook!$B$47+NPV_Hankook!$B$49)+(1+M155)*NPV_Hankook!$B$48</f>
        <v>-286.88532443674342</v>
      </c>
    </row>
    <row r="156" spans="1:15" x14ac:dyDescent="0.2">
      <c r="A156" s="228">
        <v>132</v>
      </c>
      <c r="B156" s="229">
        <v>0.12928000000000001</v>
      </c>
      <c r="C156" s="229">
        <v>0.217387</v>
      </c>
      <c r="D156" s="229">
        <v>3.0356000000000001E-2</v>
      </c>
      <c r="E156" s="229">
        <v>0.29915000000000003</v>
      </c>
      <c r="F156" s="229">
        <v>0.96557099999999996</v>
      </c>
      <c r="G156" s="229">
        <v>0.96064899999999998</v>
      </c>
      <c r="H156" s="230">
        <f>Proj_Inputs!$B$44+(Proj_Inputs!$C$44-Proj_Inputs!$B$44)*B156</f>
        <v>-7.4144000000000002E-2</v>
      </c>
      <c r="I156" s="230">
        <f>Proj_Inputs!$B$45+(Proj_Inputs!$C$45-Proj_Inputs!$B$45)*C156</f>
        <v>-2.260904E-2</v>
      </c>
      <c r="J156" s="230">
        <f>Proj_Inputs!$B$46+(Proj_Inputs!$C$46-Proj_Inputs!$B$46)*D156</f>
        <v>-0.1439288</v>
      </c>
      <c r="K156" s="230">
        <f>Proj_Inputs!$B$47+(Proj_Inputs!$C$47-Proj_Inputs!$B$47)*E156</f>
        <v>2.4787500000000004E-2</v>
      </c>
      <c r="L156" s="230">
        <f>Proj_Inputs!$B$46+(Proj_Inputs!$C$46-Proj_Inputs!$B$46)*F156</f>
        <v>4.3114200000000019E-2</v>
      </c>
      <c r="M156" s="230">
        <f>Proj_Inputs!$B$47+(Proj_Inputs!$C$47-Proj_Inputs!$B$47)*G156</f>
        <v>0.19016224999999998</v>
      </c>
      <c r="N156" s="231">
        <f>(1+H156)*(Proj_Inputs!$B$20+J156)/Proj_Inputs!$B$20*((Proj_Inputs!$B$21+I156)*(1-Proj_Inputs!$B$24)*NPV_Pirelli!$B$47+NPV_Pirelli!$B$49)+(1+K156)*NPV_Pirelli!$B$48</f>
        <v>11.75237492911117</v>
      </c>
      <c r="O156" s="231">
        <f>(1+H156)*(Proj_Inputs!$C$20+L156)/Proj_Inputs!$C$20*((Proj_Inputs!$C$21+I156)*(1-Proj_Inputs!$C$24)*NPV_Hankook!$B$47+NPV_Hankook!$B$49)+(1+M156)*NPV_Hankook!$B$48</f>
        <v>-493.26886899020803</v>
      </c>
    </row>
    <row r="157" spans="1:15" x14ac:dyDescent="0.2">
      <c r="A157" s="228">
        <v>133</v>
      </c>
      <c r="B157" s="229">
        <v>0.61460000000000004</v>
      </c>
      <c r="C157" s="229">
        <v>0.26871</v>
      </c>
      <c r="D157" s="229">
        <v>0.92968499999999998</v>
      </c>
      <c r="E157" s="229">
        <v>0.446189</v>
      </c>
      <c r="F157" s="229">
        <v>0.86153100000000005</v>
      </c>
      <c r="G157" s="229">
        <v>0.22109899999999999</v>
      </c>
      <c r="H157" s="230">
        <f>Proj_Inputs!$B$44+(Proj_Inputs!$C$44-Proj_Inputs!$B$44)*B157</f>
        <v>2.292000000000001E-2</v>
      </c>
      <c r="I157" s="230">
        <f>Proj_Inputs!$B$45+(Proj_Inputs!$C$45-Proj_Inputs!$B$45)*C157</f>
        <v>-1.8503200000000001E-2</v>
      </c>
      <c r="J157" s="230">
        <f>Proj_Inputs!$B$46+(Proj_Inputs!$C$46-Proj_Inputs!$B$46)*D157</f>
        <v>3.5937000000000024E-2</v>
      </c>
      <c r="K157" s="230">
        <f>Proj_Inputs!$B$47+(Proj_Inputs!$C$47-Proj_Inputs!$B$47)*E157</f>
        <v>6.1547249999999998E-2</v>
      </c>
      <c r="L157" s="230">
        <f>Proj_Inputs!$B$46+(Proj_Inputs!$C$46-Proj_Inputs!$B$46)*F157</f>
        <v>2.2306200000000026E-2</v>
      </c>
      <c r="M157" s="230">
        <f>Proj_Inputs!$B$47+(Proj_Inputs!$C$47-Proj_Inputs!$B$47)*G157</f>
        <v>5.2747499999999947E-3</v>
      </c>
      <c r="N157" s="231">
        <f>(1+H157)*(Proj_Inputs!$B$20+J157)/Proj_Inputs!$B$20*((Proj_Inputs!$B$21+I157)*(1-Proj_Inputs!$B$24)*NPV_Pirelli!$B$47+NPV_Pirelli!$B$49)+(1+K157)*NPV_Pirelli!$B$48</f>
        <v>311.15198245062174</v>
      </c>
      <c r="O157" s="231">
        <f>(1+H157)*(Proj_Inputs!$C$20+L157)/Proj_Inputs!$C$20*((Proj_Inputs!$C$21+I157)*(1-Proj_Inputs!$C$24)*NPV_Hankook!$B$47+NPV_Hankook!$B$49)+(1+M157)*NPV_Hankook!$B$48</f>
        <v>-176.98032898744782</v>
      </c>
    </row>
    <row r="158" spans="1:15" x14ac:dyDescent="0.2">
      <c r="A158" s="228">
        <v>134</v>
      </c>
      <c r="B158" s="229">
        <v>0.74558199999999997</v>
      </c>
      <c r="C158" s="229">
        <v>3.3869999999999997E-2</v>
      </c>
      <c r="D158" s="229">
        <v>0.84527699999999995</v>
      </c>
      <c r="E158" s="229">
        <v>0.103793</v>
      </c>
      <c r="F158" s="229">
        <v>0.60111499999999995</v>
      </c>
      <c r="G158" s="229">
        <v>5.7844E-2</v>
      </c>
      <c r="H158" s="230">
        <f>Proj_Inputs!$B$44+(Proj_Inputs!$C$44-Proj_Inputs!$B$44)*B158</f>
        <v>4.9116400000000004E-2</v>
      </c>
      <c r="I158" s="230">
        <f>Proj_Inputs!$B$45+(Proj_Inputs!$C$45-Proj_Inputs!$B$45)*C158</f>
        <v>-3.7290400000000001E-2</v>
      </c>
      <c r="J158" s="230">
        <f>Proj_Inputs!$B$46+(Proj_Inputs!$C$46-Proj_Inputs!$B$46)*D158</f>
        <v>1.90554E-2</v>
      </c>
      <c r="K158" s="230">
        <f>Proj_Inputs!$B$47+(Proj_Inputs!$C$47-Proj_Inputs!$B$47)*E158</f>
        <v>-2.4051750000000004E-2</v>
      </c>
      <c r="L158" s="230">
        <f>Proj_Inputs!$B$46+(Proj_Inputs!$C$46-Proj_Inputs!$B$46)*F158</f>
        <v>-2.9776999999999998E-2</v>
      </c>
      <c r="M158" s="230">
        <f>Proj_Inputs!$B$47+(Proj_Inputs!$C$47-Proj_Inputs!$B$47)*G158</f>
        <v>-3.5539000000000001E-2</v>
      </c>
      <c r="N158" s="231">
        <f>(1+H158)*(Proj_Inputs!$B$20+J158)/Proj_Inputs!$B$20*((Proj_Inputs!$B$21+I158)*(1-Proj_Inputs!$B$24)*NPV_Pirelli!$B$47+NPV_Pirelli!$B$49)+(1+K158)*NPV_Pirelli!$B$48</f>
        <v>262.28580464822994</v>
      </c>
      <c r="O158" s="231">
        <f>(1+H158)*(Proj_Inputs!$C$20+L158)/Proj_Inputs!$C$20*((Proj_Inputs!$C$21+I158)*(1-Proj_Inputs!$C$24)*NPV_Hankook!$B$47+NPV_Hankook!$B$49)+(1+M158)*NPV_Hankook!$B$48</f>
        <v>-292.17203134193198</v>
      </c>
    </row>
    <row r="159" spans="1:15" x14ac:dyDescent="0.2">
      <c r="A159" s="228">
        <v>135</v>
      </c>
      <c r="B159" s="229">
        <v>7.4219999999999998E-3</v>
      </c>
      <c r="C159" s="229">
        <v>0.99612100000000003</v>
      </c>
      <c r="D159" s="229">
        <v>0.24131</v>
      </c>
      <c r="E159" s="229">
        <v>0.25524400000000003</v>
      </c>
      <c r="F159" s="229">
        <v>0.59970599999999996</v>
      </c>
      <c r="G159" s="229">
        <v>0.79339499999999996</v>
      </c>
      <c r="H159" s="230">
        <f>Proj_Inputs!$B$44+(Proj_Inputs!$C$44-Proj_Inputs!$B$44)*B159</f>
        <v>-9.8515600000000009E-2</v>
      </c>
      <c r="I159" s="230">
        <f>Proj_Inputs!$B$45+(Proj_Inputs!$C$45-Proj_Inputs!$B$45)*C159</f>
        <v>3.9689679999999998E-2</v>
      </c>
      <c r="J159" s="230">
        <f>Proj_Inputs!$B$46+(Proj_Inputs!$C$46-Proj_Inputs!$B$46)*D159</f>
        <v>-0.101738</v>
      </c>
      <c r="K159" s="230">
        <f>Proj_Inputs!$B$47+(Proj_Inputs!$C$47-Proj_Inputs!$B$47)*E159</f>
        <v>1.3811000000000004E-2</v>
      </c>
      <c r="L159" s="230">
        <f>Proj_Inputs!$B$46+(Proj_Inputs!$C$46-Proj_Inputs!$B$46)*F159</f>
        <v>-3.0058799999999997E-2</v>
      </c>
      <c r="M159" s="230">
        <f>Proj_Inputs!$B$47+(Proj_Inputs!$C$47-Proj_Inputs!$B$47)*G159</f>
        <v>0.14834874999999997</v>
      </c>
      <c r="N159" s="231">
        <f>(1+H159)*(Proj_Inputs!$B$20+J159)/Proj_Inputs!$B$20*((Proj_Inputs!$B$21+I159)*(1-Proj_Inputs!$B$24)*NPV_Pirelli!$B$47+NPV_Pirelli!$B$49)+(1+K159)*NPV_Pirelli!$B$48</f>
        <v>351.51474274635154</v>
      </c>
      <c r="O159" s="231">
        <f>(1+H159)*(Proj_Inputs!$C$20+L159)/Proj_Inputs!$C$20*((Proj_Inputs!$C$21+I159)*(1-Proj_Inputs!$C$24)*NPV_Hankook!$B$47+NPV_Hankook!$B$49)+(1+M159)*NPV_Hankook!$B$48</f>
        <v>-163.38808174974133</v>
      </c>
    </row>
    <row r="160" spans="1:15" x14ac:dyDescent="0.2">
      <c r="A160" s="228">
        <v>136</v>
      </c>
      <c r="B160" s="229">
        <v>0.25719399999999998</v>
      </c>
      <c r="C160" s="229">
        <v>0.80664800000000003</v>
      </c>
      <c r="D160" s="229">
        <v>0.44938899999999998</v>
      </c>
      <c r="E160" s="229">
        <v>0.95937600000000001</v>
      </c>
      <c r="F160" s="229">
        <v>0.59657499999999997</v>
      </c>
      <c r="G160" s="229">
        <v>0.596692</v>
      </c>
      <c r="H160" s="230">
        <f>Proj_Inputs!$B$44+(Proj_Inputs!$C$44-Proj_Inputs!$B$44)*B160</f>
        <v>-4.8561200000000006E-2</v>
      </c>
      <c r="I160" s="230">
        <f>Proj_Inputs!$B$45+(Proj_Inputs!$C$45-Proj_Inputs!$B$45)*C160</f>
        <v>2.4531840000000006E-2</v>
      </c>
      <c r="J160" s="230">
        <f>Proj_Inputs!$B$46+(Proj_Inputs!$C$46-Proj_Inputs!$B$46)*D160</f>
        <v>-6.0122199999999987E-2</v>
      </c>
      <c r="K160" s="230">
        <f>Proj_Inputs!$B$47+(Proj_Inputs!$C$47-Proj_Inputs!$B$47)*E160</f>
        <v>0.18984400000000001</v>
      </c>
      <c r="L160" s="230">
        <f>Proj_Inputs!$B$46+(Proj_Inputs!$C$46-Proj_Inputs!$B$46)*F160</f>
        <v>-3.068499999999999E-2</v>
      </c>
      <c r="M160" s="230">
        <f>Proj_Inputs!$B$47+(Proj_Inputs!$C$47-Proj_Inputs!$B$47)*G160</f>
        <v>9.9172999999999997E-2</v>
      </c>
      <c r="N160" s="231">
        <f>(1+H160)*(Proj_Inputs!$B$20+J160)/Proj_Inputs!$B$20*((Proj_Inputs!$B$21+I160)*(1-Proj_Inputs!$B$24)*NPV_Pirelli!$B$47+NPV_Pirelli!$B$49)+(1+K160)*NPV_Pirelli!$B$48</f>
        <v>256.56722886763669</v>
      </c>
      <c r="O160" s="231">
        <f>(1+H160)*(Proj_Inputs!$C$20+L160)/Proj_Inputs!$C$20*((Proj_Inputs!$C$21+I160)*(1-Proj_Inputs!$C$24)*NPV_Hankook!$B$47+NPV_Hankook!$B$49)+(1+M160)*NPV_Hankook!$B$48</f>
        <v>-137.56545083168385</v>
      </c>
    </row>
    <row r="161" spans="1:15" x14ac:dyDescent="0.2">
      <c r="A161" s="228">
        <v>137</v>
      </c>
      <c r="B161" s="229">
        <v>0.82506800000000002</v>
      </c>
      <c r="C161" s="229">
        <v>0.58785100000000001</v>
      </c>
      <c r="D161" s="229">
        <v>0.49961100000000003</v>
      </c>
      <c r="E161" s="229">
        <v>0.43717899999999998</v>
      </c>
      <c r="F161" s="229">
        <v>0.77629000000000004</v>
      </c>
      <c r="G161" s="229">
        <v>0.96736900000000003</v>
      </c>
      <c r="H161" s="230">
        <f>Proj_Inputs!$B$44+(Proj_Inputs!$C$44-Proj_Inputs!$B$44)*B161</f>
        <v>6.5013600000000005E-2</v>
      </c>
      <c r="I161" s="230">
        <f>Proj_Inputs!$B$45+(Proj_Inputs!$C$45-Proj_Inputs!$B$45)*C161</f>
        <v>7.0280799999999991E-3</v>
      </c>
      <c r="J161" s="230">
        <f>Proj_Inputs!$B$46+(Proj_Inputs!$C$46-Proj_Inputs!$B$46)*D161</f>
        <v>-5.0077799999999978E-2</v>
      </c>
      <c r="K161" s="230">
        <f>Proj_Inputs!$B$47+(Proj_Inputs!$C$47-Proj_Inputs!$B$47)*E161</f>
        <v>5.9294749999999993E-2</v>
      </c>
      <c r="L161" s="230">
        <f>Proj_Inputs!$B$46+(Proj_Inputs!$C$46-Proj_Inputs!$B$46)*F161</f>
        <v>5.2580000000000127E-3</v>
      </c>
      <c r="M161" s="230">
        <f>Proj_Inputs!$B$47+(Proj_Inputs!$C$47-Proj_Inputs!$B$47)*G161</f>
        <v>0.19184224999999999</v>
      </c>
      <c r="N161" s="231">
        <f>(1+H161)*(Proj_Inputs!$B$20+J161)/Proj_Inputs!$B$20*((Proj_Inputs!$B$21+I161)*(1-Proj_Inputs!$B$24)*NPV_Pirelli!$B$47+NPV_Pirelli!$B$49)+(1+K161)*NPV_Pirelli!$B$48</f>
        <v>409.17176572101948</v>
      </c>
      <c r="O161" s="231">
        <f>(1+H161)*(Proj_Inputs!$C$20+L161)/Proj_Inputs!$C$20*((Proj_Inputs!$C$21+I161)*(1-Proj_Inputs!$C$24)*NPV_Hankook!$B$47+NPV_Hankook!$B$49)+(1+M161)*NPV_Hankook!$B$48</f>
        <v>-184.84077774819957</v>
      </c>
    </row>
    <row r="162" spans="1:15" x14ac:dyDescent="0.2">
      <c r="A162" s="228">
        <v>138</v>
      </c>
      <c r="B162" s="229">
        <v>0.87506099999999998</v>
      </c>
      <c r="C162" s="229">
        <v>0.91307300000000002</v>
      </c>
      <c r="D162" s="229">
        <v>0.39366000000000001</v>
      </c>
      <c r="E162" s="229">
        <v>7.4102000000000001E-2</v>
      </c>
      <c r="F162" s="229">
        <v>0.97467000000000004</v>
      </c>
      <c r="G162" s="229">
        <v>0.55599399999999999</v>
      </c>
      <c r="H162" s="230">
        <f>Proj_Inputs!$B$44+(Proj_Inputs!$C$44-Proj_Inputs!$B$44)*B162</f>
        <v>7.5012200000000001E-2</v>
      </c>
      <c r="I162" s="230">
        <f>Proj_Inputs!$B$45+(Proj_Inputs!$C$45-Proj_Inputs!$B$45)*C162</f>
        <v>3.304584E-2</v>
      </c>
      <c r="J162" s="230">
        <f>Proj_Inputs!$B$46+(Proj_Inputs!$C$46-Proj_Inputs!$B$46)*D162</f>
        <v>-7.1267999999999984E-2</v>
      </c>
      <c r="K162" s="230">
        <f>Proj_Inputs!$B$47+(Proj_Inputs!$C$47-Proj_Inputs!$B$47)*E162</f>
        <v>-3.1474500000000002E-2</v>
      </c>
      <c r="L162" s="230">
        <f>Proj_Inputs!$B$46+(Proj_Inputs!$C$46-Proj_Inputs!$B$46)*F162</f>
        <v>4.4934000000000029E-2</v>
      </c>
      <c r="M162" s="230">
        <f>Proj_Inputs!$B$47+(Proj_Inputs!$C$47-Proj_Inputs!$B$47)*G162</f>
        <v>8.8998499999999994E-2</v>
      </c>
      <c r="N162" s="231">
        <f>(1+H162)*(Proj_Inputs!$B$20+J162)/Proj_Inputs!$B$20*((Proj_Inputs!$B$21+I162)*(1-Proj_Inputs!$B$24)*NPV_Pirelli!$B$47+NPV_Pirelli!$B$49)+(1+K162)*NPV_Pirelli!$B$48</f>
        <v>620.42051267893464</v>
      </c>
      <c r="O162" s="231">
        <f>(1+H162)*(Proj_Inputs!$C$20+L162)/Proj_Inputs!$C$20*((Proj_Inputs!$C$21+I162)*(1-Proj_Inputs!$C$24)*NPV_Hankook!$B$47+NPV_Hankook!$B$49)+(1+M162)*NPV_Hankook!$B$48</f>
        <v>200.48884115379269</v>
      </c>
    </row>
    <row r="163" spans="1:15" x14ac:dyDescent="0.2">
      <c r="A163" s="228">
        <v>139</v>
      </c>
      <c r="B163" s="229">
        <v>0.97277499999999995</v>
      </c>
      <c r="C163" s="229">
        <v>0.83993099999999998</v>
      </c>
      <c r="D163" s="229">
        <v>0.29395700000000002</v>
      </c>
      <c r="E163" s="229">
        <v>0.79512899999999997</v>
      </c>
      <c r="F163" s="229">
        <v>0.97829299999999997</v>
      </c>
      <c r="G163" s="229">
        <v>0.72362700000000002</v>
      </c>
      <c r="H163" s="230">
        <f>Proj_Inputs!$B$44+(Proj_Inputs!$C$44-Proj_Inputs!$B$44)*B163</f>
        <v>9.4555E-2</v>
      </c>
      <c r="I163" s="230">
        <f>Proj_Inputs!$B$45+(Proj_Inputs!$C$45-Proj_Inputs!$B$45)*C163</f>
        <v>2.719448E-2</v>
      </c>
      <c r="J163" s="230">
        <f>Proj_Inputs!$B$46+(Proj_Inputs!$C$46-Proj_Inputs!$B$46)*D163</f>
        <v>-9.1208599999999987E-2</v>
      </c>
      <c r="K163" s="230">
        <f>Proj_Inputs!$B$47+(Proj_Inputs!$C$47-Proj_Inputs!$B$47)*E163</f>
        <v>0.14878225</v>
      </c>
      <c r="L163" s="230">
        <f>Proj_Inputs!$B$46+(Proj_Inputs!$C$46-Proj_Inputs!$B$46)*F163</f>
        <v>4.5658600000000021E-2</v>
      </c>
      <c r="M163" s="230">
        <f>Proj_Inputs!$B$47+(Proj_Inputs!$C$47-Proj_Inputs!$B$47)*G163</f>
        <v>0.13090675000000002</v>
      </c>
      <c r="N163" s="231">
        <f>(1+H163)*(Proj_Inputs!$B$20+J163)/Proj_Inputs!$B$20*((Proj_Inputs!$B$21+I163)*(1-Proj_Inputs!$B$24)*NPV_Pirelli!$B$47+NPV_Pirelli!$B$49)+(1+K163)*NPV_Pirelli!$B$48</f>
        <v>433.96391271355549</v>
      </c>
      <c r="O163" s="231">
        <f>(1+H163)*(Proj_Inputs!$C$20+L163)/Proj_Inputs!$C$20*((Proj_Inputs!$C$21+I163)*(1-Proj_Inputs!$C$24)*NPV_Hankook!$B$47+NPV_Hankook!$B$49)+(1+M163)*NPV_Hankook!$B$48</f>
        <v>133.43827227233669</v>
      </c>
    </row>
    <row r="164" spans="1:15" x14ac:dyDescent="0.2">
      <c r="A164" s="228">
        <v>140</v>
      </c>
      <c r="B164" s="229">
        <v>0.90553499999999998</v>
      </c>
      <c r="C164" s="229">
        <v>0.93417600000000001</v>
      </c>
      <c r="D164" s="229">
        <v>0.31153399999999998</v>
      </c>
      <c r="E164" s="229">
        <v>0.46939700000000001</v>
      </c>
      <c r="F164" s="229">
        <v>0.97448100000000004</v>
      </c>
      <c r="G164" s="229">
        <v>0.35067599999999999</v>
      </c>
      <c r="H164" s="230">
        <f>Proj_Inputs!$B$44+(Proj_Inputs!$C$44-Proj_Inputs!$B$44)*B164</f>
        <v>8.1107000000000012E-2</v>
      </c>
      <c r="I164" s="230">
        <f>Proj_Inputs!$B$45+(Proj_Inputs!$C$45-Proj_Inputs!$B$45)*C164</f>
        <v>3.4734080000000007E-2</v>
      </c>
      <c r="J164" s="230">
        <f>Proj_Inputs!$B$46+(Proj_Inputs!$C$46-Proj_Inputs!$B$46)*D164</f>
        <v>-8.7693199999999999E-2</v>
      </c>
      <c r="K164" s="230">
        <f>Proj_Inputs!$B$47+(Proj_Inputs!$C$47-Proj_Inputs!$B$47)*E164</f>
        <v>6.7349249999999999E-2</v>
      </c>
      <c r="L164" s="230">
        <f>Proj_Inputs!$B$46+(Proj_Inputs!$C$46-Proj_Inputs!$B$46)*F164</f>
        <v>4.4896200000000025E-2</v>
      </c>
      <c r="M164" s="230">
        <f>Proj_Inputs!$B$47+(Proj_Inputs!$C$47-Proj_Inputs!$B$47)*G164</f>
        <v>3.7668999999999994E-2</v>
      </c>
      <c r="N164" s="231">
        <f>(1+H164)*(Proj_Inputs!$B$20+J164)/Proj_Inputs!$B$20*((Proj_Inputs!$B$21+I164)*(1-Proj_Inputs!$B$24)*NPV_Pirelli!$B$47+NPV_Pirelli!$B$49)+(1+K164)*NPV_Pirelli!$B$48</f>
        <v>532.96488776376373</v>
      </c>
      <c r="O164" s="231">
        <f>(1+H164)*(Proj_Inputs!$C$20+L164)/Proj_Inputs!$C$20*((Proj_Inputs!$C$21+I164)*(1-Proj_Inputs!$C$24)*NPV_Hankook!$B$47+NPV_Hankook!$B$49)+(1+M164)*NPV_Hankook!$B$48</f>
        <v>281.59299622383264</v>
      </c>
    </row>
    <row r="165" spans="1:15" x14ac:dyDescent="0.2">
      <c r="A165" s="228">
        <v>141</v>
      </c>
      <c r="B165" s="229">
        <v>0.42442200000000002</v>
      </c>
      <c r="C165" s="229">
        <v>9.2283000000000004E-2</v>
      </c>
      <c r="D165" s="229">
        <v>0.76605000000000001</v>
      </c>
      <c r="E165" s="229">
        <v>0.46132800000000002</v>
      </c>
      <c r="F165" s="229">
        <v>0.40577999999999997</v>
      </c>
      <c r="G165" s="229">
        <v>8.6177000000000004E-2</v>
      </c>
      <c r="H165" s="230">
        <f>Proj_Inputs!$B$44+(Proj_Inputs!$C$44-Proj_Inputs!$B$44)*B165</f>
        <v>-1.5115599999999993E-2</v>
      </c>
      <c r="I165" s="230">
        <f>Proj_Inputs!$B$45+(Proj_Inputs!$C$45-Proj_Inputs!$B$45)*C165</f>
        <v>-3.2617359999999998E-2</v>
      </c>
      <c r="J165" s="230">
        <f>Proj_Inputs!$B$46+(Proj_Inputs!$C$46-Proj_Inputs!$B$46)*D165</f>
        <v>3.2100000000000184E-3</v>
      </c>
      <c r="K165" s="230">
        <f>Proj_Inputs!$B$47+(Proj_Inputs!$C$47-Proj_Inputs!$B$47)*E165</f>
        <v>6.5332000000000001E-2</v>
      </c>
      <c r="L165" s="230">
        <f>Proj_Inputs!$B$46+(Proj_Inputs!$C$46-Proj_Inputs!$B$46)*F165</f>
        <v>-6.8843999999999989E-2</v>
      </c>
      <c r="M165" s="230">
        <f>Proj_Inputs!$B$47+(Proj_Inputs!$C$47-Proj_Inputs!$B$47)*G165</f>
        <v>-2.8455750000000002E-2</v>
      </c>
      <c r="N165" s="231">
        <f>(1+H165)*(Proj_Inputs!$B$20+J165)/Proj_Inputs!$B$20*((Proj_Inputs!$B$21+I165)*(1-Proj_Inputs!$B$24)*NPV_Pirelli!$B$47+NPV_Pirelli!$B$49)+(1+K165)*NPV_Pirelli!$B$48</f>
        <v>140.53099108192066</v>
      </c>
      <c r="O165" s="231">
        <f>(1+H165)*(Proj_Inputs!$C$20+L165)/Proj_Inputs!$C$20*((Proj_Inputs!$C$21+I165)*(1-Proj_Inputs!$C$24)*NPV_Hankook!$B$47+NPV_Hankook!$B$49)+(1+M165)*NPV_Hankook!$B$48</f>
        <v>-357.05873908456829</v>
      </c>
    </row>
    <row r="166" spans="1:15" x14ac:dyDescent="0.2">
      <c r="A166" s="228">
        <v>142</v>
      </c>
      <c r="B166" s="229">
        <v>0.97800699999999996</v>
      </c>
      <c r="C166" s="229">
        <v>0.76527000000000001</v>
      </c>
      <c r="D166" s="229">
        <v>0.373525</v>
      </c>
      <c r="E166" s="229">
        <v>0.78604399999999996</v>
      </c>
      <c r="F166" s="229">
        <v>1.0952999999999999E-2</v>
      </c>
      <c r="G166" s="229">
        <v>8.2171999999999995E-2</v>
      </c>
      <c r="H166" s="230">
        <f>Proj_Inputs!$B$44+(Proj_Inputs!$C$44-Proj_Inputs!$B$44)*B166</f>
        <v>9.5601400000000003E-2</v>
      </c>
      <c r="I166" s="230">
        <f>Proj_Inputs!$B$45+(Proj_Inputs!$C$45-Proj_Inputs!$B$45)*C166</f>
        <v>2.12216E-2</v>
      </c>
      <c r="J166" s="230">
        <f>Proj_Inputs!$B$46+(Proj_Inputs!$C$46-Proj_Inputs!$B$46)*D166</f>
        <v>-7.5294999999999987E-2</v>
      </c>
      <c r="K166" s="230">
        <f>Proj_Inputs!$B$47+(Proj_Inputs!$C$47-Proj_Inputs!$B$47)*E166</f>
        <v>0.146511</v>
      </c>
      <c r="L166" s="230">
        <f>Proj_Inputs!$B$46+(Proj_Inputs!$C$46-Proj_Inputs!$B$46)*F166</f>
        <v>-0.14780940000000001</v>
      </c>
      <c r="M166" s="230">
        <f>Proj_Inputs!$B$47+(Proj_Inputs!$C$47-Proj_Inputs!$B$47)*G166</f>
        <v>-2.9457000000000004E-2</v>
      </c>
      <c r="N166" s="231">
        <f>(1+H166)*(Proj_Inputs!$B$20+J166)/Proj_Inputs!$B$20*((Proj_Inputs!$B$21+I166)*(1-Proj_Inputs!$B$24)*NPV_Pirelli!$B$47+NPV_Pirelli!$B$49)+(1+K166)*NPV_Pirelli!$B$48</f>
        <v>426.3231134733453</v>
      </c>
      <c r="O166" s="231">
        <f>(1+H166)*(Proj_Inputs!$C$20+L166)/Proj_Inputs!$C$20*((Proj_Inputs!$C$21+I166)*(1-Proj_Inputs!$C$24)*NPV_Hankook!$B$47+NPV_Hankook!$B$49)+(1+M166)*NPV_Hankook!$B$48</f>
        <v>-12.839280579775505</v>
      </c>
    </row>
    <row r="167" spans="1:15" x14ac:dyDescent="0.2">
      <c r="A167" s="228">
        <v>143</v>
      </c>
      <c r="B167" s="229">
        <v>3.4365E-2</v>
      </c>
      <c r="C167" s="229">
        <v>0.71261200000000002</v>
      </c>
      <c r="D167" s="229">
        <v>0.65812400000000004</v>
      </c>
      <c r="E167" s="229">
        <v>0.33555800000000002</v>
      </c>
      <c r="F167" s="229">
        <v>0.80815800000000004</v>
      </c>
      <c r="G167" s="229">
        <v>0.650142</v>
      </c>
      <c r="H167" s="230">
        <f>Proj_Inputs!$B$44+(Proj_Inputs!$C$44-Proj_Inputs!$B$44)*B167</f>
        <v>-9.3127000000000001E-2</v>
      </c>
      <c r="I167" s="230">
        <f>Proj_Inputs!$B$45+(Proj_Inputs!$C$45-Proj_Inputs!$B$45)*C167</f>
        <v>1.7008960000000004E-2</v>
      </c>
      <c r="J167" s="230">
        <f>Proj_Inputs!$B$46+(Proj_Inputs!$C$46-Proj_Inputs!$B$46)*D167</f>
        <v>-1.837519999999998E-2</v>
      </c>
      <c r="K167" s="230">
        <f>Proj_Inputs!$B$47+(Proj_Inputs!$C$47-Proj_Inputs!$B$47)*E167</f>
        <v>3.3889500000000003E-2</v>
      </c>
      <c r="L167" s="230">
        <f>Proj_Inputs!$B$46+(Proj_Inputs!$C$46-Proj_Inputs!$B$46)*F167</f>
        <v>1.163160000000002E-2</v>
      </c>
      <c r="M167" s="230">
        <f>Proj_Inputs!$B$47+(Proj_Inputs!$C$47-Proj_Inputs!$B$47)*G167</f>
        <v>0.1125355</v>
      </c>
      <c r="N167" s="231">
        <f>(1+H167)*(Proj_Inputs!$B$20+J167)/Proj_Inputs!$B$20*((Proj_Inputs!$B$21+I167)*(1-Proj_Inputs!$B$24)*NPV_Pirelli!$B$47+NPV_Pirelli!$B$49)+(1+K167)*NPV_Pirelli!$B$48</f>
        <v>338.81340726057226</v>
      </c>
      <c r="O167" s="231">
        <f>(1+H167)*(Proj_Inputs!$C$20+L167)/Proj_Inputs!$C$20*((Proj_Inputs!$C$21+I167)*(1-Proj_Inputs!$C$24)*NPV_Hankook!$B$47+NPV_Hankook!$B$49)+(1+M167)*NPV_Hankook!$B$48</f>
        <v>-200.97366278028835</v>
      </c>
    </row>
    <row r="168" spans="1:15" x14ac:dyDescent="0.2">
      <c r="A168" s="228">
        <v>144</v>
      </c>
      <c r="B168" s="229">
        <v>0.10324700000000001</v>
      </c>
      <c r="C168" s="229">
        <v>0.81470100000000001</v>
      </c>
      <c r="D168" s="229">
        <v>0.92103000000000002</v>
      </c>
      <c r="E168" s="229">
        <v>0.73248400000000002</v>
      </c>
      <c r="F168" s="229">
        <v>0.10709299999999999</v>
      </c>
      <c r="G168" s="229">
        <v>0.37321500000000002</v>
      </c>
      <c r="H168" s="230">
        <f>Proj_Inputs!$B$44+(Proj_Inputs!$C$44-Proj_Inputs!$B$44)*B168</f>
        <v>-7.9350600000000007E-2</v>
      </c>
      <c r="I168" s="230">
        <f>Proj_Inputs!$B$45+(Proj_Inputs!$C$45-Proj_Inputs!$B$45)*C168</f>
        <v>2.5176079999999997E-2</v>
      </c>
      <c r="J168" s="230">
        <f>Proj_Inputs!$B$46+(Proj_Inputs!$C$46-Proj_Inputs!$B$46)*D168</f>
        <v>3.4206000000000014E-2</v>
      </c>
      <c r="K168" s="230">
        <f>Proj_Inputs!$B$47+(Proj_Inputs!$C$47-Proj_Inputs!$B$47)*E168</f>
        <v>0.13312099999999999</v>
      </c>
      <c r="L168" s="230">
        <f>Proj_Inputs!$B$46+(Proj_Inputs!$C$46-Proj_Inputs!$B$46)*F168</f>
        <v>-0.12858139999999998</v>
      </c>
      <c r="M168" s="230">
        <f>Proj_Inputs!$B$47+(Proj_Inputs!$C$47-Proj_Inputs!$B$47)*G168</f>
        <v>4.3303750000000002E-2</v>
      </c>
      <c r="N168" s="231">
        <f>(1+H168)*(Proj_Inputs!$B$20+J168)/Proj_Inputs!$B$20*((Proj_Inputs!$B$21+I168)*(1-Proj_Inputs!$B$24)*NPV_Pirelli!$B$47+NPV_Pirelli!$B$49)+(1+K168)*NPV_Pirelli!$B$48</f>
        <v>396.25935266724969</v>
      </c>
      <c r="O168" s="231">
        <f>(1+H168)*(Proj_Inputs!$C$20+L168)/Proj_Inputs!$C$20*((Proj_Inputs!$C$21+I168)*(1-Proj_Inputs!$C$24)*NPV_Hankook!$B$47+NPV_Hankook!$B$49)+(1+M168)*NPV_Hankook!$B$48</f>
        <v>-230.36132126090797</v>
      </c>
    </row>
    <row r="169" spans="1:15" x14ac:dyDescent="0.2">
      <c r="A169" s="228">
        <v>145</v>
      </c>
      <c r="B169" s="229">
        <v>0.57570500000000002</v>
      </c>
      <c r="C169" s="229">
        <v>0.19047700000000001</v>
      </c>
      <c r="D169" s="229">
        <v>0.27776099999999998</v>
      </c>
      <c r="E169" s="229">
        <v>0.85389300000000001</v>
      </c>
      <c r="F169" s="229">
        <v>1.5374000000000001E-2</v>
      </c>
      <c r="G169" s="229">
        <v>0.42677199999999998</v>
      </c>
      <c r="H169" s="230">
        <f>Proj_Inputs!$B$44+(Proj_Inputs!$C$44-Proj_Inputs!$B$44)*B169</f>
        <v>1.5141000000000002E-2</v>
      </c>
      <c r="I169" s="230">
        <f>Proj_Inputs!$B$45+(Proj_Inputs!$C$45-Proj_Inputs!$B$45)*C169</f>
        <v>-2.476184E-2</v>
      </c>
      <c r="J169" s="230">
        <f>Proj_Inputs!$B$46+(Proj_Inputs!$C$46-Proj_Inputs!$B$46)*D169</f>
        <v>-9.4447799999999998E-2</v>
      </c>
      <c r="K169" s="230">
        <f>Proj_Inputs!$B$47+(Proj_Inputs!$C$47-Proj_Inputs!$B$47)*E169</f>
        <v>0.16347325000000001</v>
      </c>
      <c r="L169" s="230">
        <f>Proj_Inputs!$B$46+(Proj_Inputs!$C$46-Proj_Inputs!$B$46)*F169</f>
        <v>-0.14692520000000001</v>
      </c>
      <c r="M169" s="230">
        <f>Proj_Inputs!$B$47+(Proj_Inputs!$C$47-Proj_Inputs!$B$47)*G169</f>
        <v>5.6692999999999993E-2</v>
      </c>
      <c r="N169" s="231">
        <f>(1+H169)*(Proj_Inputs!$B$20+J169)/Proj_Inputs!$B$20*((Proj_Inputs!$B$21+I169)*(1-Proj_Inputs!$B$24)*NPV_Pirelli!$B$47+NPV_Pirelli!$B$49)+(1+K169)*NPV_Pirelli!$B$48</f>
        <v>28.175718533744202</v>
      </c>
      <c r="O169" s="231">
        <f>(1+H169)*(Proj_Inputs!$C$20+L169)/Proj_Inputs!$C$20*((Proj_Inputs!$C$21+I169)*(1-Proj_Inputs!$C$24)*NPV_Hankook!$B$47+NPV_Hankook!$B$49)+(1+M169)*NPV_Hankook!$B$48</f>
        <v>-461.49526468508691</v>
      </c>
    </row>
    <row r="170" spans="1:15" x14ac:dyDescent="0.2">
      <c r="A170" s="228">
        <v>146</v>
      </c>
      <c r="B170" s="229">
        <v>0.89239900000000005</v>
      </c>
      <c r="C170" s="229">
        <v>9.7595000000000001E-2</v>
      </c>
      <c r="D170" s="229">
        <v>0.87924400000000003</v>
      </c>
      <c r="E170" s="229">
        <v>0.43475599999999998</v>
      </c>
      <c r="F170" s="229">
        <v>0.31760300000000002</v>
      </c>
      <c r="G170" s="229">
        <v>0.78371100000000005</v>
      </c>
      <c r="H170" s="230">
        <f>Proj_Inputs!$B$44+(Proj_Inputs!$C$44-Proj_Inputs!$B$44)*B170</f>
        <v>7.8479800000000016E-2</v>
      </c>
      <c r="I170" s="230">
        <f>Proj_Inputs!$B$45+(Proj_Inputs!$C$45-Proj_Inputs!$B$45)*C170</f>
        <v>-3.2192400000000003E-2</v>
      </c>
      <c r="J170" s="230">
        <f>Proj_Inputs!$B$46+(Proj_Inputs!$C$46-Proj_Inputs!$B$46)*D170</f>
        <v>2.5848800000000033E-2</v>
      </c>
      <c r="K170" s="230">
        <f>Proj_Inputs!$B$47+(Proj_Inputs!$C$47-Proj_Inputs!$B$47)*E170</f>
        <v>5.8688999999999991E-2</v>
      </c>
      <c r="L170" s="230">
        <f>Proj_Inputs!$B$46+(Proj_Inputs!$C$46-Proj_Inputs!$B$46)*F170</f>
        <v>-8.6479399999999984E-2</v>
      </c>
      <c r="M170" s="230">
        <f>Proj_Inputs!$B$47+(Proj_Inputs!$C$47-Proj_Inputs!$B$47)*G170</f>
        <v>0.14592775000000002</v>
      </c>
      <c r="N170" s="231">
        <f>(1+H170)*(Proj_Inputs!$B$20+J170)/Proj_Inputs!$B$20*((Proj_Inputs!$B$21+I170)*(1-Proj_Inputs!$B$24)*NPV_Pirelli!$B$47+NPV_Pirelli!$B$49)+(1+K170)*NPV_Pirelli!$B$48</f>
        <v>268.7607435443324</v>
      </c>
      <c r="O170" s="231">
        <f>(1+H170)*(Proj_Inputs!$C$20+L170)/Proj_Inputs!$C$20*((Proj_Inputs!$C$21+I170)*(1-Proj_Inputs!$C$24)*NPV_Hankook!$B$47+NPV_Hankook!$B$49)+(1+M170)*NPV_Hankook!$B$48</f>
        <v>-501.57125482131926</v>
      </c>
    </row>
    <row r="171" spans="1:15" x14ac:dyDescent="0.2">
      <c r="A171" s="228">
        <v>147</v>
      </c>
      <c r="B171" s="229">
        <v>0.23922599999999999</v>
      </c>
      <c r="C171" s="229">
        <v>0.88920699999999997</v>
      </c>
      <c r="D171" s="229">
        <v>0.68064599999999997</v>
      </c>
      <c r="E171" s="229">
        <v>9.6583000000000002E-2</v>
      </c>
      <c r="F171" s="229">
        <v>8.8875999999999997E-2</v>
      </c>
      <c r="G171" s="229">
        <v>0.62950799999999996</v>
      </c>
      <c r="H171" s="230">
        <f>Proj_Inputs!$B$44+(Proj_Inputs!$C$44-Proj_Inputs!$B$44)*B171</f>
        <v>-5.2154800000000001E-2</v>
      </c>
      <c r="I171" s="230">
        <f>Proj_Inputs!$B$45+(Proj_Inputs!$C$45-Proj_Inputs!$B$45)*C171</f>
        <v>3.1136560000000001E-2</v>
      </c>
      <c r="J171" s="230">
        <f>Proj_Inputs!$B$46+(Proj_Inputs!$C$46-Proj_Inputs!$B$46)*D171</f>
        <v>-1.3870799999999989E-2</v>
      </c>
      <c r="K171" s="230">
        <f>Proj_Inputs!$B$47+(Proj_Inputs!$C$47-Proj_Inputs!$B$47)*E171</f>
        <v>-2.5854250000000002E-2</v>
      </c>
      <c r="L171" s="230">
        <f>Proj_Inputs!$B$46+(Proj_Inputs!$C$46-Proj_Inputs!$B$46)*F171</f>
        <v>-0.1322248</v>
      </c>
      <c r="M171" s="230">
        <f>Proj_Inputs!$B$47+(Proj_Inputs!$C$47-Proj_Inputs!$B$47)*G171</f>
        <v>0.10737699999999999</v>
      </c>
      <c r="N171" s="231">
        <f>(1+H171)*(Proj_Inputs!$B$20+J171)/Proj_Inputs!$B$20*((Proj_Inputs!$B$21+I171)*(1-Proj_Inputs!$B$24)*NPV_Pirelli!$B$47+NPV_Pirelli!$B$49)+(1+K171)*NPV_Pirelli!$B$48</f>
        <v>525.76699130493853</v>
      </c>
      <c r="O171" s="231">
        <f>(1+H171)*(Proj_Inputs!$C$20+L171)/Proj_Inputs!$C$20*((Proj_Inputs!$C$21+I171)*(1-Proj_Inputs!$C$24)*NPV_Hankook!$B$47+NPV_Hankook!$B$49)+(1+M171)*NPV_Hankook!$B$48</f>
        <v>-247.60296815171705</v>
      </c>
    </row>
    <row r="172" spans="1:15" x14ac:dyDescent="0.2">
      <c r="A172" s="228">
        <v>148</v>
      </c>
      <c r="B172" s="229">
        <v>0.47151700000000002</v>
      </c>
      <c r="C172" s="229">
        <v>0.110387</v>
      </c>
      <c r="D172" s="229">
        <v>2.3376999999999998E-2</v>
      </c>
      <c r="E172" s="229">
        <v>0.18348600000000001</v>
      </c>
      <c r="F172" s="229">
        <v>0.65791200000000005</v>
      </c>
      <c r="G172" s="229">
        <v>0.88632100000000003</v>
      </c>
      <c r="H172" s="230">
        <f>Proj_Inputs!$B$44+(Proj_Inputs!$C$44-Proj_Inputs!$B$44)*B172</f>
        <v>-5.6965999999999961E-3</v>
      </c>
      <c r="I172" s="230">
        <f>Proj_Inputs!$B$45+(Proj_Inputs!$C$45-Proj_Inputs!$B$45)*C172</f>
        <v>-3.1169040000000002E-2</v>
      </c>
      <c r="J172" s="230">
        <f>Proj_Inputs!$B$46+(Proj_Inputs!$C$46-Proj_Inputs!$B$46)*D172</f>
        <v>-0.1453246</v>
      </c>
      <c r="K172" s="230">
        <f>Proj_Inputs!$B$47+(Proj_Inputs!$C$47-Proj_Inputs!$B$47)*E172</f>
        <v>-4.1285000000000002E-3</v>
      </c>
      <c r="L172" s="230">
        <f>Proj_Inputs!$B$46+(Proj_Inputs!$C$46-Proj_Inputs!$B$46)*F172</f>
        <v>-1.8417599999999978E-2</v>
      </c>
      <c r="M172" s="230">
        <f>Proj_Inputs!$B$47+(Proj_Inputs!$C$47-Proj_Inputs!$B$47)*G172</f>
        <v>0.17158024999999999</v>
      </c>
      <c r="N172" s="231">
        <f>(1+H172)*(Proj_Inputs!$B$20+J172)/Proj_Inputs!$B$20*((Proj_Inputs!$B$21+I172)*(1-Proj_Inputs!$B$24)*NPV_Pirelli!$B$47+NPV_Pirelli!$B$49)+(1+K172)*NPV_Pirelli!$B$48</f>
        <v>49.368170233824117</v>
      </c>
      <c r="O172" s="231">
        <f>(1+H172)*(Proj_Inputs!$C$20+L172)/Proj_Inputs!$C$20*((Proj_Inputs!$C$21+I172)*(1-Proj_Inputs!$C$24)*NPV_Hankook!$B$47+NPV_Hankook!$B$49)+(1+M172)*NPV_Hankook!$B$48</f>
        <v>-525.34543992966178</v>
      </c>
    </row>
    <row r="173" spans="1:15" x14ac:dyDescent="0.2">
      <c r="A173" s="228">
        <v>149</v>
      </c>
      <c r="B173" s="229">
        <v>0.17411499999999999</v>
      </c>
      <c r="C173" s="229">
        <v>8.0359E-2</v>
      </c>
      <c r="D173" s="229">
        <v>4.1859E-2</v>
      </c>
      <c r="E173" s="229">
        <v>0.89240799999999998</v>
      </c>
      <c r="F173" s="229">
        <v>0.92213000000000001</v>
      </c>
      <c r="G173" s="229">
        <v>0.38132199999999999</v>
      </c>
      <c r="H173" s="230">
        <f>Proj_Inputs!$B$44+(Proj_Inputs!$C$44-Proj_Inputs!$B$44)*B173</f>
        <v>-6.5177000000000013E-2</v>
      </c>
      <c r="I173" s="230">
        <f>Proj_Inputs!$B$45+(Proj_Inputs!$C$45-Proj_Inputs!$B$45)*C173</f>
        <v>-3.3571280000000002E-2</v>
      </c>
      <c r="J173" s="230">
        <f>Proj_Inputs!$B$46+(Proj_Inputs!$C$46-Proj_Inputs!$B$46)*D173</f>
        <v>-0.14162819999999998</v>
      </c>
      <c r="K173" s="230">
        <f>Proj_Inputs!$B$47+(Proj_Inputs!$C$47-Proj_Inputs!$B$47)*E173</f>
        <v>0.17310199999999998</v>
      </c>
      <c r="L173" s="230">
        <f>Proj_Inputs!$B$46+(Proj_Inputs!$C$46-Proj_Inputs!$B$46)*F173</f>
        <v>3.4426000000000012E-2</v>
      </c>
      <c r="M173" s="230">
        <f>Proj_Inputs!$B$47+(Proj_Inputs!$C$47-Proj_Inputs!$B$47)*G173</f>
        <v>4.5330499999999996E-2</v>
      </c>
      <c r="N173" s="231">
        <f>(1+H173)*(Proj_Inputs!$B$20+J173)/Proj_Inputs!$B$20*((Proj_Inputs!$B$21+I173)*(1-Proj_Inputs!$B$24)*NPV_Pirelli!$B$47+NPV_Pirelli!$B$49)+(1+K173)*NPV_Pirelli!$B$48</f>
        <v>-148.1330912382856</v>
      </c>
      <c r="O173" s="231">
        <f>(1+H173)*(Proj_Inputs!$C$20+L173)/Proj_Inputs!$C$20*((Proj_Inputs!$C$21+I173)*(1-Proj_Inputs!$C$24)*NPV_Hankook!$B$47+NPV_Hankook!$B$49)+(1+M173)*NPV_Hankook!$B$48</f>
        <v>-397.35917592919748</v>
      </c>
    </row>
    <row r="174" spans="1:15" x14ac:dyDescent="0.2">
      <c r="A174" s="228">
        <v>150</v>
      </c>
      <c r="B174" s="229">
        <v>0.848908</v>
      </c>
      <c r="C174" s="229">
        <v>0.105499</v>
      </c>
      <c r="D174" s="229">
        <v>0.75016400000000005</v>
      </c>
      <c r="E174" s="229">
        <v>0.392482</v>
      </c>
      <c r="F174" s="229">
        <v>0.35119499999999998</v>
      </c>
      <c r="G174" s="229">
        <v>0.41889399999999999</v>
      </c>
      <c r="H174" s="230">
        <f>Proj_Inputs!$B$44+(Proj_Inputs!$C$44-Proj_Inputs!$B$44)*B174</f>
        <v>6.9781599999999999E-2</v>
      </c>
      <c r="I174" s="230">
        <f>Proj_Inputs!$B$45+(Proj_Inputs!$C$45-Proj_Inputs!$B$45)*C174</f>
        <v>-3.1560080000000004E-2</v>
      </c>
      <c r="J174" s="230">
        <f>Proj_Inputs!$B$46+(Proj_Inputs!$C$46-Proj_Inputs!$B$46)*D174</f>
        <v>3.2800000000027252E-5</v>
      </c>
      <c r="K174" s="230">
        <f>Proj_Inputs!$B$47+(Proj_Inputs!$C$47-Proj_Inputs!$B$47)*E174</f>
        <v>4.8120499999999997E-2</v>
      </c>
      <c r="L174" s="230">
        <f>Proj_Inputs!$B$46+(Proj_Inputs!$C$46-Proj_Inputs!$B$46)*F174</f>
        <v>-7.9760999999999999E-2</v>
      </c>
      <c r="M174" s="230">
        <f>Proj_Inputs!$B$47+(Proj_Inputs!$C$47-Proj_Inputs!$B$47)*G174</f>
        <v>5.4723499999999994E-2</v>
      </c>
      <c r="N174" s="231">
        <f>(1+H174)*(Proj_Inputs!$B$20+J174)/Proj_Inputs!$B$20*((Proj_Inputs!$B$21+I174)*(1-Proj_Inputs!$B$24)*NPV_Pirelli!$B$47+NPV_Pirelli!$B$49)+(1+K174)*NPV_Pirelli!$B$48</f>
        <v>241.86017716704237</v>
      </c>
      <c r="O174" s="231">
        <f>(1+H174)*(Proj_Inputs!$C$20+L174)/Proj_Inputs!$C$20*((Proj_Inputs!$C$21+I174)*(1-Proj_Inputs!$C$24)*NPV_Hankook!$B$47+NPV_Hankook!$B$49)+(1+M174)*NPV_Hankook!$B$48</f>
        <v>-391.1424953832593</v>
      </c>
    </row>
    <row r="175" spans="1:15" x14ac:dyDescent="0.2">
      <c r="A175" s="228">
        <v>151</v>
      </c>
      <c r="B175" s="229">
        <v>0.37165199999999998</v>
      </c>
      <c r="C175" s="229">
        <v>0.21824299999999999</v>
      </c>
      <c r="D175" s="229">
        <v>0.64599200000000001</v>
      </c>
      <c r="E175" s="229">
        <v>0.65710800000000003</v>
      </c>
      <c r="F175" s="229">
        <v>0.14957799999999999</v>
      </c>
      <c r="G175" s="229">
        <v>0.79723599999999994</v>
      </c>
      <c r="H175" s="230">
        <f>Proj_Inputs!$B$44+(Proj_Inputs!$C$44-Proj_Inputs!$B$44)*B175</f>
        <v>-2.5669600000000001E-2</v>
      </c>
      <c r="I175" s="230">
        <f>Proj_Inputs!$B$45+(Proj_Inputs!$C$45-Proj_Inputs!$B$45)*C175</f>
        <v>-2.2540560000000001E-2</v>
      </c>
      <c r="J175" s="230">
        <f>Proj_Inputs!$B$46+(Proj_Inputs!$C$46-Proj_Inputs!$B$46)*D175</f>
        <v>-2.0801599999999976E-2</v>
      </c>
      <c r="K175" s="230">
        <f>Proj_Inputs!$B$47+(Proj_Inputs!$C$47-Proj_Inputs!$B$47)*E175</f>
        <v>0.114277</v>
      </c>
      <c r="L175" s="230">
        <f>Proj_Inputs!$B$46+(Proj_Inputs!$C$46-Proj_Inputs!$B$46)*F175</f>
        <v>-0.12008439999999999</v>
      </c>
      <c r="M175" s="230">
        <f>Proj_Inputs!$B$47+(Proj_Inputs!$C$47-Proj_Inputs!$B$47)*G175</f>
        <v>0.14930899999999997</v>
      </c>
      <c r="N175" s="231">
        <f>(1+H175)*(Proj_Inputs!$B$20+J175)/Proj_Inputs!$B$20*((Proj_Inputs!$B$21+I175)*(1-Proj_Inputs!$B$24)*NPV_Pirelli!$B$47+NPV_Pirelli!$B$49)+(1+K175)*NPV_Pirelli!$B$48</f>
        <v>124.98845970858656</v>
      </c>
      <c r="O175" s="231">
        <f>(1+H175)*(Proj_Inputs!$C$20+L175)/Proj_Inputs!$C$20*((Proj_Inputs!$C$21+I175)*(1-Proj_Inputs!$C$24)*NPV_Hankook!$B$47+NPV_Hankook!$B$49)+(1+M175)*NPV_Hankook!$B$48</f>
        <v>-560.98438197095152</v>
      </c>
    </row>
    <row r="176" spans="1:15" x14ac:dyDescent="0.2">
      <c r="A176" s="228">
        <v>152</v>
      </c>
      <c r="B176" s="229">
        <v>0.66084699999999996</v>
      </c>
      <c r="C176" s="229">
        <v>0.13807800000000001</v>
      </c>
      <c r="D176" s="229">
        <v>0.91400700000000001</v>
      </c>
      <c r="E176" s="229">
        <v>0.97268100000000002</v>
      </c>
      <c r="F176" s="229">
        <v>0.51700500000000005</v>
      </c>
      <c r="G176" s="229">
        <v>0.99815299999999996</v>
      </c>
      <c r="H176" s="230">
        <f>Proj_Inputs!$B$44+(Proj_Inputs!$C$44-Proj_Inputs!$B$44)*B176</f>
        <v>3.2169399999999987E-2</v>
      </c>
      <c r="I176" s="230">
        <f>Proj_Inputs!$B$45+(Proj_Inputs!$C$45-Proj_Inputs!$B$45)*C176</f>
        <v>-2.8953760000000002E-2</v>
      </c>
      <c r="J176" s="230">
        <f>Proj_Inputs!$B$46+(Proj_Inputs!$C$46-Proj_Inputs!$B$46)*D176</f>
        <v>3.2801400000000008E-2</v>
      </c>
      <c r="K176" s="230">
        <f>Proj_Inputs!$B$47+(Proj_Inputs!$C$47-Proj_Inputs!$B$47)*E176</f>
        <v>0.19317024999999999</v>
      </c>
      <c r="L176" s="230">
        <f>Proj_Inputs!$B$46+(Proj_Inputs!$C$46-Proj_Inputs!$B$46)*F176</f>
        <v>-4.6598999999999974E-2</v>
      </c>
      <c r="M176" s="230">
        <f>Proj_Inputs!$B$47+(Proj_Inputs!$C$47-Proj_Inputs!$B$47)*G176</f>
        <v>0.19953824999999997</v>
      </c>
      <c r="N176" s="231">
        <f>(1+H176)*(Proj_Inputs!$B$20+J176)/Proj_Inputs!$B$20*((Proj_Inputs!$B$21+I176)*(1-Proj_Inputs!$B$24)*NPV_Pirelli!$B$47+NPV_Pirelli!$B$49)+(1+K176)*NPV_Pirelli!$B$48</f>
        <v>144.72605647705154</v>
      </c>
      <c r="O176" s="231">
        <f>(1+H176)*(Proj_Inputs!$C$20+L176)/Proj_Inputs!$C$20*((Proj_Inputs!$C$21+I176)*(1-Proj_Inputs!$C$24)*NPV_Hankook!$B$47+NPV_Hankook!$B$49)+(1+M176)*NPV_Hankook!$B$48</f>
        <v>-538.90745665320992</v>
      </c>
    </row>
    <row r="177" spans="1:15" x14ac:dyDescent="0.2">
      <c r="A177" s="228">
        <v>153</v>
      </c>
      <c r="B177" s="229">
        <v>0.46300200000000002</v>
      </c>
      <c r="C177" s="229">
        <v>0.71213700000000002</v>
      </c>
      <c r="D177" s="229">
        <v>0.91740200000000005</v>
      </c>
      <c r="E177" s="229">
        <v>0.61665599999999998</v>
      </c>
      <c r="F177" s="229">
        <v>0.69100700000000004</v>
      </c>
      <c r="G177" s="229">
        <v>0.76275099999999996</v>
      </c>
      <c r="H177" s="230">
        <f>Proj_Inputs!$B$44+(Proj_Inputs!$C$44-Proj_Inputs!$B$44)*B177</f>
        <v>-7.3995999999999923E-3</v>
      </c>
      <c r="I177" s="230">
        <f>Proj_Inputs!$B$45+(Proj_Inputs!$C$45-Proj_Inputs!$B$45)*C177</f>
        <v>1.697096E-2</v>
      </c>
      <c r="J177" s="230">
        <f>Proj_Inputs!$B$46+(Proj_Inputs!$C$46-Proj_Inputs!$B$46)*D177</f>
        <v>3.3480400000000021E-2</v>
      </c>
      <c r="K177" s="230">
        <f>Proj_Inputs!$B$47+(Proj_Inputs!$C$47-Proj_Inputs!$B$47)*E177</f>
        <v>0.10416399999999999</v>
      </c>
      <c r="L177" s="230">
        <f>Proj_Inputs!$B$46+(Proj_Inputs!$C$46-Proj_Inputs!$B$46)*F177</f>
        <v>-1.1798599999999992E-2</v>
      </c>
      <c r="M177" s="230">
        <f>Proj_Inputs!$B$47+(Proj_Inputs!$C$47-Proj_Inputs!$B$47)*G177</f>
        <v>0.14068775</v>
      </c>
      <c r="N177" s="231">
        <f>(1+H177)*(Proj_Inputs!$B$20+J177)/Proj_Inputs!$B$20*((Proj_Inputs!$B$21+I177)*(1-Proj_Inputs!$B$24)*NPV_Pirelli!$B$47+NPV_Pirelli!$B$49)+(1+K177)*NPV_Pirelli!$B$48</f>
        <v>466.53245967233215</v>
      </c>
      <c r="O177" s="231">
        <f>(1+H177)*(Proj_Inputs!$C$20+L177)/Proj_Inputs!$C$20*((Proj_Inputs!$C$21+I177)*(1-Proj_Inputs!$C$24)*NPV_Hankook!$B$47+NPV_Hankook!$B$49)+(1+M177)*NPV_Hankook!$B$48</f>
        <v>-161.38710529019477</v>
      </c>
    </row>
    <row r="178" spans="1:15" x14ac:dyDescent="0.2">
      <c r="A178" s="228">
        <v>154</v>
      </c>
      <c r="B178" s="229">
        <v>0.25178099999999998</v>
      </c>
      <c r="C178" s="229">
        <v>0.66665200000000002</v>
      </c>
      <c r="D178" s="229">
        <v>7.8664999999999999E-2</v>
      </c>
      <c r="E178" s="229">
        <v>0.38807399999999997</v>
      </c>
      <c r="F178" s="229">
        <v>0.93054499999999996</v>
      </c>
      <c r="G178" s="229">
        <v>0.94231299999999996</v>
      </c>
      <c r="H178" s="230">
        <f>Proj_Inputs!$B$44+(Proj_Inputs!$C$44-Proj_Inputs!$B$44)*B178</f>
        <v>-4.9643800000000009E-2</v>
      </c>
      <c r="I178" s="230">
        <f>Proj_Inputs!$B$45+(Proj_Inputs!$C$45-Proj_Inputs!$B$45)*C178</f>
        <v>1.3332160000000003E-2</v>
      </c>
      <c r="J178" s="230">
        <f>Proj_Inputs!$B$46+(Proj_Inputs!$C$46-Proj_Inputs!$B$46)*D178</f>
        <v>-0.134267</v>
      </c>
      <c r="K178" s="230">
        <f>Proj_Inputs!$B$47+(Proj_Inputs!$C$47-Proj_Inputs!$B$47)*E178</f>
        <v>4.7018499999999991E-2</v>
      </c>
      <c r="L178" s="230">
        <f>Proj_Inputs!$B$46+(Proj_Inputs!$C$46-Proj_Inputs!$B$46)*F178</f>
        <v>3.6109000000000002E-2</v>
      </c>
      <c r="M178" s="230">
        <f>Proj_Inputs!$B$47+(Proj_Inputs!$C$47-Proj_Inputs!$B$47)*G178</f>
        <v>0.18557825</v>
      </c>
      <c r="N178" s="231">
        <f>(1+H178)*(Proj_Inputs!$B$20+J178)/Proj_Inputs!$B$20*((Proj_Inputs!$B$21+I178)*(1-Proj_Inputs!$B$24)*NPV_Pirelli!$B$47+NPV_Pirelli!$B$49)+(1+K178)*NPV_Pirelli!$B$48</f>
        <v>206.44544230919587</v>
      </c>
      <c r="O178" s="231">
        <f>(1+H178)*(Proj_Inputs!$C$20+L178)/Proj_Inputs!$C$20*((Proj_Inputs!$C$21+I178)*(1-Proj_Inputs!$C$24)*NPV_Hankook!$B$47+NPV_Hankook!$B$49)+(1+M178)*NPV_Hankook!$B$48</f>
        <v>-227.67163196795877</v>
      </c>
    </row>
    <row r="179" spans="1:15" x14ac:dyDescent="0.2">
      <c r="A179" s="228">
        <v>155</v>
      </c>
      <c r="B179" s="229">
        <v>0.39644699999999999</v>
      </c>
      <c r="C179" s="229">
        <v>7.6124999999999998E-2</v>
      </c>
      <c r="D179" s="229">
        <v>0.936585</v>
      </c>
      <c r="E179" s="229">
        <v>0.45829300000000001</v>
      </c>
      <c r="F179" s="229">
        <v>4.3234000000000002E-2</v>
      </c>
      <c r="G179" s="229">
        <v>0.402447</v>
      </c>
      <c r="H179" s="230">
        <f>Proj_Inputs!$B$44+(Proj_Inputs!$C$44-Proj_Inputs!$B$44)*B179</f>
        <v>-2.0710599999999996E-2</v>
      </c>
      <c r="I179" s="230">
        <f>Proj_Inputs!$B$45+(Proj_Inputs!$C$45-Proj_Inputs!$B$45)*C179</f>
        <v>-3.3910000000000003E-2</v>
      </c>
      <c r="J179" s="230">
        <f>Proj_Inputs!$B$46+(Proj_Inputs!$C$46-Proj_Inputs!$B$46)*D179</f>
        <v>3.7317000000000017E-2</v>
      </c>
      <c r="K179" s="230">
        <f>Proj_Inputs!$B$47+(Proj_Inputs!$C$47-Proj_Inputs!$B$47)*E179</f>
        <v>6.4573249999999999E-2</v>
      </c>
      <c r="L179" s="230">
        <f>Proj_Inputs!$B$46+(Proj_Inputs!$C$46-Proj_Inputs!$B$46)*F179</f>
        <v>-0.14135319999999998</v>
      </c>
      <c r="M179" s="230">
        <f>Proj_Inputs!$B$47+(Proj_Inputs!$C$47-Proj_Inputs!$B$47)*G179</f>
        <v>5.0611749999999997E-2</v>
      </c>
      <c r="N179" s="231">
        <f>(1+H179)*(Proj_Inputs!$B$20+J179)/Proj_Inputs!$B$20*((Proj_Inputs!$B$21+I179)*(1-Proj_Inputs!$B$24)*NPV_Pirelli!$B$47+NPV_Pirelli!$B$49)+(1+K179)*NPV_Pirelli!$B$48</f>
        <v>164.21506681680887</v>
      </c>
      <c r="O179" s="231">
        <f>(1+H179)*(Proj_Inputs!$C$20+L179)/Proj_Inputs!$C$20*((Proj_Inputs!$C$21+I179)*(1-Proj_Inputs!$C$24)*NPV_Hankook!$B$47+NPV_Hankook!$B$49)+(1+M179)*NPV_Hankook!$B$48</f>
        <v>-527.80863642877694</v>
      </c>
    </row>
    <row r="180" spans="1:15" x14ac:dyDescent="0.2">
      <c r="A180" s="228">
        <v>156</v>
      </c>
      <c r="B180" s="229">
        <v>0.89943499999999998</v>
      </c>
      <c r="C180" s="229">
        <v>0.38226399999999999</v>
      </c>
      <c r="D180" s="229">
        <v>0.96054700000000004</v>
      </c>
      <c r="E180" s="229">
        <v>0.14197599999999999</v>
      </c>
      <c r="F180" s="229">
        <v>0.302678</v>
      </c>
      <c r="G180" s="229">
        <v>9.4224000000000002E-2</v>
      </c>
      <c r="H180" s="230">
        <f>Proj_Inputs!$B$44+(Proj_Inputs!$C$44-Proj_Inputs!$B$44)*B180</f>
        <v>7.9887000000000014E-2</v>
      </c>
      <c r="I180" s="230">
        <f>Proj_Inputs!$B$45+(Proj_Inputs!$C$45-Proj_Inputs!$B$45)*C180</f>
        <v>-9.418880000000001E-3</v>
      </c>
      <c r="J180" s="230">
        <f>Proj_Inputs!$B$46+(Proj_Inputs!$C$46-Proj_Inputs!$B$46)*D180</f>
        <v>4.2109400000000019E-2</v>
      </c>
      <c r="K180" s="230">
        <f>Proj_Inputs!$B$47+(Proj_Inputs!$C$47-Proj_Inputs!$B$47)*E180</f>
        <v>-1.4506000000000005E-2</v>
      </c>
      <c r="L180" s="230">
        <f>Proj_Inputs!$B$46+(Proj_Inputs!$C$46-Proj_Inputs!$B$46)*F180</f>
        <v>-8.9464399999999999E-2</v>
      </c>
      <c r="M180" s="230">
        <f>Proj_Inputs!$B$47+(Proj_Inputs!$C$47-Proj_Inputs!$B$47)*G180</f>
        <v>-2.6444000000000002E-2</v>
      </c>
      <c r="N180" s="231">
        <f>(1+H180)*(Proj_Inputs!$B$20+J180)/Proj_Inputs!$B$20*((Proj_Inputs!$B$21+I180)*(1-Proj_Inputs!$B$24)*NPV_Pirelli!$B$47+NPV_Pirelli!$B$49)+(1+K180)*NPV_Pirelli!$B$48</f>
        <v>506.56125098317182</v>
      </c>
      <c r="O180" s="231">
        <f>(1+H180)*(Proj_Inputs!$C$20+L180)/Proj_Inputs!$C$20*((Proj_Inputs!$C$21+I180)*(1-Proj_Inputs!$C$24)*NPV_Hankook!$B$47+NPV_Hankook!$B$49)+(1+M180)*NPV_Hankook!$B$48</f>
        <v>-151.23457788888879</v>
      </c>
    </row>
    <row r="181" spans="1:15" x14ac:dyDescent="0.2">
      <c r="A181" s="228">
        <v>157</v>
      </c>
      <c r="B181" s="229">
        <v>0.45013700000000001</v>
      </c>
      <c r="C181" s="229">
        <v>4.0205999999999999E-2</v>
      </c>
      <c r="D181" s="229">
        <v>0.72602900000000004</v>
      </c>
      <c r="E181" s="229">
        <v>0.55343500000000001</v>
      </c>
      <c r="F181" s="229">
        <v>0.71645700000000001</v>
      </c>
      <c r="G181" s="229">
        <v>0.339364</v>
      </c>
      <c r="H181" s="230">
        <f>Proj_Inputs!$B$44+(Proj_Inputs!$C$44-Proj_Inputs!$B$44)*B181</f>
        <v>-9.9725999999999981E-3</v>
      </c>
      <c r="I181" s="230">
        <f>Proj_Inputs!$B$45+(Proj_Inputs!$C$45-Proj_Inputs!$B$45)*C181</f>
        <v>-3.678352E-2</v>
      </c>
      <c r="J181" s="230">
        <f>Proj_Inputs!$B$46+(Proj_Inputs!$C$46-Proj_Inputs!$B$46)*D181</f>
        <v>-4.7941999999999707E-3</v>
      </c>
      <c r="K181" s="230">
        <f>Proj_Inputs!$B$47+(Proj_Inputs!$C$47-Proj_Inputs!$B$47)*E181</f>
        <v>8.835875E-2</v>
      </c>
      <c r="L181" s="230">
        <f>Proj_Inputs!$B$46+(Proj_Inputs!$C$46-Proj_Inputs!$B$46)*F181</f>
        <v>-6.7085999999999812E-3</v>
      </c>
      <c r="M181" s="230">
        <f>Proj_Inputs!$B$47+(Proj_Inputs!$C$47-Proj_Inputs!$B$47)*G181</f>
        <v>3.4840999999999997E-2</v>
      </c>
      <c r="N181" s="231">
        <f>(1+H181)*(Proj_Inputs!$B$20+J181)/Proj_Inputs!$B$20*((Proj_Inputs!$B$21+I181)*(1-Proj_Inputs!$B$24)*NPV_Pirelli!$B$47+NPV_Pirelli!$B$49)+(1+K181)*NPV_Pirelli!$B$48</f>
        <v>93.384218537586094</v>
      </c>
      <c r="O181" s="231">
        <f>(1+H181)*(Proj_Inputs!$C$20+L181)/Proj_Inputs!$C$20*((Proj_Inputs!$C$21+I181)*(1-Proj_Inputs!$C$24)*NPV_Hankook!$B$47+NPV_Hankook!$B$49)+(1+M181)*NPV_Hankook!$B$48</f>
        <v>-396.61048957521302</v>
      </c>
    </row>
    <row r="182" spans="1:15" x14ac:dyDescent="0.2">
      <c r="A182" s="228">
        <v>158</v>
      </c>
      <c r="B182" s="229">
        <v>0.448264</v>
      </c>
      <c r="C182" s="229">
        <v>0.14438699999999999</v>
      </c>
      <c r="D182" s="229">
        <v>0.36031600000000003</v>
      </c>
      <c r="E182" s="229">
        <v>0.82329300000000005</v>
      </c>
      <c r="F182" s="229">
        <v>0.941909</v>
      </c>
      <c r="G182" s="229">
        <v>0.38733099999999998</v>
      </c>
      <c r="H182" s="230">
        <f>Proj_Inputs!$B$44+(Proj_Inputs!$C$44-Proj_Inputs!$B$44)*B182</f>
        <v>-1.0347200000000001E-2</v>
      </c>
      <c r="I182" s="230">
        <f>Proj_Inputs!$B$45+(Proj_Inputs!$C$45-Proj_Inputs!$B$45)*C182</f>
        <v>-2.8449040000000002E-2</v>
      </c>
      <c r="J182" s="230">
        <f>Proj_Inputs!$B$46+(Proj_Inputs!$C$46-Proj_Inputs!$B$46)*D182</f>
        <v>-7.7936799999999987E-2</v>
      </c>
      <c r="K182" s="230">
        <f>Proj_Inputs!$B$47+(Proj_Inputs!$C$47-Proj_Inputs!$B$47)*E182</f>
        <v>0.15582325000000002</v>
      </c>
      <c r="L182" s="230">
        <f>Proj_Inputs!$B$46+(Proj_Inputs!$C$46-Proj_Inputs!$B$46)*F182</f>
        <v>3.8381800000000021E-2</v>
      </c>
      <c r="M182" s="230">
        <f>Proj_Inputs!$B$47+(Proj_Inputs!$C$47-Proj_Inputs!$B$47)*G182</f>
        <v>4.6832749999999992E-2</v>
      </c>
      <c r="N182" s="231">
        <f>(1+H182)*(Proj_Inputs!$B$20+J182)/Proj_Inputs!$B$20*((Proj_Inputs!$B$21+I182)*(1-Proj_Inputs!$B$24)*NPV_Pirelli!$B$47+NPV_Pirelli!$B$49)+(1+K182)*NPV_Pirelli!$B$48</f>
        <v>8.7414473052392623</v>
      </c>
      <c r="O182" s="231">
        <f>(1+H182)*(Proj_Inputs!$C$20+L182)/Proj_Inputs!$C$20*((Proj_Inputs!$C$21+I182)*(1-Proj_Inputs!$C$24)*NPV_Hankook!$B$47+NPV_Hankook!$B$49)+(1+M182)*NPV_Hankook!$B$48</f>
        <v>-311.19794043511831</v>
      </c>
    </row>
    <row r="183" spans="1:15" x14ac:dyDescent="0.2">
      <c r="A183" s="228">
        <v>159</v>
      </c>
      <c r="B183" s="229">
        <v>0.45095800000000003</v>
      </c>
      <c r="C183" s="229">
        <v>0.66470799999999997</v>
      </c>
      <c r="D183" s="229">
        <v>0.90848799999999996</v>
      </c>
      <c r="E183" s="229">
        <v>0.117752</v>
      </c>
      <c r="F183" s="229">
        <v>0.74721599999999999</v>
      </c>
      <c r="G183" s="229">
        <v>0.214028</v>
      </c>
      <c r="H183" s="230">
        <f>Proj_Inputs!$B$44+(Proj_Inputs!$C$44-Proj_Inputs!$B$44)*B183</f>
        <v>-9.8083999999999949E-3</v>
      </c>
      <c r="I183" s="230">
        <f>Proj_Inputs!$B$45+(Proj_Inputs!$C$45-Proj_Inputs!$B$45)*C183</f>
        <v>1.3176639999999996E-2</v>
      </c>
      <c r="J183" s="230">
        <f>Proj_Inputs!$B$46+(Proj_Inputs!$C$46-Proj_Inputs!$B$46)*D183</f>
        <v>3.169760000000002E-2</v>
      </c>
      <c r="K183" s="230">
        <f>Proj_Inputs!$B$47+(Proj_Inputs!$C$47-Proj_Inputs!$B$47)*E183</f>
        <v>-2.0562000000000004E-2</v>
      </c>
      <c r="L183" s="230">
        <f>Proj_Inputs!$B$46+(Proj_Inputs!$C$46-Proj_Inputs!$B$46)*F183</f>
        <v>-5.5679999999999619E-4</v>
      </c>
      <c r="M183" s="230">
        <f>Proj_Inputs!$B$47+(Proj_Inputs!$C$47-Proj_Inputs!$B$47)*G183</f>
        <v>3.5069999999999962E-3</v>
      </c>
      <c r="N183" s="231">
        <f>(1+H183)*(Proj_Inputs!$B$20+J183)/Proj_Inputs!$B$20*((Proj_Inputs!$B$21+I183)*(1-Proj_Inputs!$B$24)*NPV_Pirelli!$B$47+NPV_Pirelli!$B$49)+(1+K183)*NPV_Pirelli!$B$48</f>
        <v>535.00752224282189</v>
      </c>
      <c r="O183" s="231">
        <f>(1+H183)*(Proj_Inputs!$C$20+L183)/Proj_Inputs!$C$20*((Proj_Inputs!$C$21+I183)*(1-Proj_Inputs!$C$24)*NPV_Hankook!$B$47+NPV_Hankook!$B$49)+(1+M183)*NPV_Hankook!$B$48</f>
        <v>-15.647739677505797</v>
      </c>
    </row>
    <row r="184" spans="1:15" x14ac:dyDescent="0.2">
      <c r="A184" s="228">
        <v>160</v>
      </c>
      <c r="B184" s="229">
        <v>0.69338500000000003</v>
      </c>
      <c r="C184" s="229">
        <v>0.88141000000000003</v>
      </c>
      <c r="D184" s="229">
        <v>0.35264099999999998</v>
      </c>
      <c r="E184" s="229">
        <v>0.66615400000000002</v>
      </c>
      <c r="F184" s="229">
        <v>0.84167499999999995</v>
      </c>
      <c r="G184" s="229">
        <v>0.36783700000000003</v>
      </c>
      <c r="H184" s="230">
        <f>Proj_Inputs!$B$44+(Proj_Inputs!$C$44-Proj_Inputs!$B$44)*B184</f>
        <v>3.8677000000000017E-2</v>
      </c>
      <c r="I184" s="230">
        <f>Proj_Inputs!$B$45+(Proj_Inputs!$C$45-Proj_Inputs!$B$45)*C184</f>
        <v>3.05128E-2</v>
      </c>
      <c r="J184" s="230">
        <f>Proj_Inputs!$B$46+(Proj_Inputs!$C$46-Proj_Inputs!$B$46)*D184</f>
        <v>-7.9471799999999995E-2</v>
      </c>
      <c r="K184" s="230">
        <f>Proj_Inputs!$B$47+(Proj_Inputs!$C$47-Proj_Inputs!$B$47)*E184</f>
        <v>0.1165385</v>
      </c>
      <c r="L184" s="230">
        <f>Proj_Inputs!$B$46+(Proj_Inputs!$C$46-Proj_Inputs!$B$46)*F184</f>
        <v>1.8335000000000018E-2</v>
      </c>
      <c r="M184" s="230">
        <f>Proj_Inputs!$B$47+(Proj_Inputs!$C$47-Proj_Inputs!$B$47)*G184</f>
        <v>4.1959250000000003E-2</v>
      </c>
      <c r="N184" s="231">
        <f>(1+H184)*(Proj_Inputs!$B$20+J184)/Proj_Inputs!$B$20*((Proj_Inputs!$B$21+I184)*(1-Proj_Inputs!$B$24)*NPV_Pirelli!$B$47+NPV_Pirelli!$B$49)+(1+K184)*NPV_Pirelli!$B$48</f>
        <v>428.88144761969409</v>
      </c>
      <c r="O184" s="231">
        <f>(1+H184)*(Proj_Inputs!$C$20+L184)/Proj_Inputs!$C$20*((Proj_Inputs!$C$21+I184)*(1-Proj_Inputs!$C$24)*NPV_Hankook!$B$47+NPV_Hankook!$B$49)+(1+M184)*NPV_Hankook!$B$48</f>
        <v>147.30856583368632</v>
      </c>
    </row>
    <row r="185" spans="1:15" x14ac:dyDescent="0.2">
      <c r="A185" s="228">
        <v>161</v>
      </c>
      <c r="B185" s="229">
        <v>0.214092</v>
      </c>
      <c r="C185" s="229">
        <v>0.74800999999999995</v>
      </c>
      <c r="D185" s="229">
        <v>0.184756</v>
      </c>
      <c r="E185" s="229">
        <v>0.47042299999999998</v>
      </c>
      <c r="F185" s="229">
        <v>0.63003200000000004</v>
      </c>
      <c r="G185" s="229">
        <v>0.35788300000000001</v>
      </c>
      <c r="H185" s="230">
        <f>Proj_Inputs!$B$44+(Proj_Inputs!$C$44-Proj_Inputs!$B$44)*B185</f>
        <v>-5.7181599999999999E-2</v>
      </c>
      <c r="I185" s="230">
        <f>Proj_Inputs!$B$45+(Proj_Inputs!$C$45-Proj_Inputs!$B$45)*C185</f>
        <v>1.9840799999999999E-2</v>
      </c>
      <c r="J185" s="230">
        <f>Proj_Inputs!$B$46+(Proj_Inputs!$C$46-Proj_Inputs!$B$46)*D185</f>
        <v>-0.11304879999999999</v>
      </c>
      <c r="K185" s="230">
        <f>Proj_Inputs!$B$47+(Proj_Inputs!$C$47-Proj_Inputs!$B$47)*E185</f>
        <v>6.7605749999999992E-2</v>
      </c>
      <c r="L185" s="230">
        <f>Proj_Inputs!$B$46+(Proj_Inputs!$C$46-Proj_Inputs!$B$46)*F185</f>
        <v>-2.3993599999999976E-2</v>
      </c>
      <c r="M185" s="230">
        <f>Proj_Inputs!$B$47+(Proj_Inputs!$C$47-Proj_Inputs!$B$47)*G185</f>
        <v>3.9470749999999999E-2</v>
      </c>
      <c r="N185" s="231">
        <f>(1+H185)*(Proj_Inputs!$B$20+J185)/Proj_Inputs!$B$20*((Proj_Inputs!$B$21+I185)*(1-Proj_Inputs!$B$24)*NPV_Pirelli!$B$47+NPV_Pirelli!$B$49)+(1+K185)*NPV_Pirelli!$B$48</f>
        <v>243.58996182143107</v>
      </c>
      <c r="O185" s="231">
        <f>(1+H185)*(Proj_Inputs!$C$20+L185)/Proj_Inputs!$C$20*((Proj_Inputs!$C$21+I185)*(1-Proj_Inputs!$C$24)*NPV_Hankook!$B$47+NPV_Hankook!$B$49)+(1+M185)*NPV_Hankook!$B$48</f>
        <v>-99.25053970168824</v>
      </c>
    </row>
    <row r="186" spans="1:15" x14ac:dyDescent="0.2">
      <c r="A186" s="228">
        <v>162</v>
      </c>
      <c r="B186" s="229">
        <v>0.373108</v>
      </c>
      <c r="C186" s="229">
        <v>0.62690599999999996</v>
      </c>
      <c r="D186" s="229">
        <v>0.70851600000000003</v>
      </c>
      <c r="E186" s="229">
        <v>0.46324399999999999</v>
      </c>
      <c r="F186" s="229">
        <v>0.99324000000000001</v>
      </c>
      <c r="G186" s="229">
        <v>0.35088999999999998</v>
      </c>
      <c r="H186" s="230">
        <f>Proj_Inputs!$B$44+(Proj_Inputs!$C$44-Proj_Inputs!$B$44)*B186</f>
        <v>-2.5378400000000009E-2</v>
      </c>
      <c r="I186" s="230">
        <f>Proj_Inputs!$B$45+(Proj_Inputs!$C$45-Proj_Inputs!$B$45)*C186</f>
        <v>1.0152479999999998E-2</v>
      </c>
      <c r="J186" s="230">
        <f>Proj_Inputs!$B$46+(Proj_Inputs!$C$46-Proj_Inputs!$B$46)*D186</f>
        <v>-8.2967999999999931E-3</v>
      </c>
      <c r="K186" s="230">
        <f>Proj_Inputs!$B$47+(Proj_Inputs!$C$47-Proj_Inputs!$B$47)*E186</f>
        <v>6.5810999999999995E-2</v>
      </c>
      <c r="L186" s="230">
        <f>Proj_Inputs!$B$46+(Proj_Inputs!$C$46-Proj_Inputs!$B$46)*F186</f>
        <v>4.8648000000000025E-2</v>
      </c>
      <c r="M186" s="230">
        <f>Proj_Inputs!$B$47+(Proj_Inputs!$C$47-Proj_Inputs!$B$47)*G186</f>
        <v>3.7722499999999992E-2</v>
      </c>
      <c r="N186" s="231">
        <f>(1+H186)*(Proj_Inputs!$B$20+J186)/Proj_Inputs!$B$20*((Proj_Inputs!$B$21+I186)*(1-Proj_Inputs!$B$24)*NPV_Pirelli!$B$47+NPV_Pirelli!$B$49)+(1+K186)*NPV_Pirelli!$B$48</f>
        <v>373.06771878400082</v>
      </c>
      <c r="O186" s="231">
        <f>(1+H186)*(Proj_Inputs!$C$20+L186)/Proj_Inputs!$C$20*((Proj_Inputs!$C$21+I186)*(1-Proj_Inputs!$C$24)*NPV_Hankook!$B$47+NPV_Hankook!$B$49)+(1+M186)*NPV_Hankook!$B$48</f>
        <v>-32.835919827451335</v>
      </c>
    </row>
    <row r="187" spans="1:15" x14ac:dyDescent="0.2">
      <c r="A187" s="228">
        <v>163</v>
      </c>
      <c r="B187" s="229">
        <v>0.24966099999999999</v>
      </c>
      <c r="C187" s="229">
        <v>0.31258000000000002</v>
      </c>
      <c r="D187" s="229">
        <v>3.7983999999999997E-2</v>
      </c>
      <c r="E187" s="229">
        <v>0.491504</v>
      </c>
      <c r="F187" s="229">
        <v>0.95215000000000005</v>
      </c>
      <c r="G187" s="229">
        <v>0.45720100000000002</v>
      </c>
      <c r="H187" s="230">
        <f>Proj_Inputs!$B$44+(Proj_Inputs!$C$44-Proj_Inputs!$B$44)*B187</f>
        <v>-5.0067800000000003E-2</v>
      </c>
      <c r="I187" s="230">
        <f>Proj_Inputs!$B$45+(Proj_Inputs!$C$45-Proj_Inputs!$B$45)*C187</f>
        <v>-1.4993599999999999E-2</v>
      </c>
      <c r="J187" s="230">
        <f>Proj_Inputs!$B$46+(Proj_Inputs!$C$46-Proj_Inputs!$B$46)*D187</f>
        <v>-0.14240320000000001</v>
      </c>
      <c r="K187" s="230">
        <f>Proj_Inputs!$B$47+(Proj_Inputs!$C$47-Proj_Inputs!$B$47)*E187</f>
        <v>7.2875999999999996E-2</v>
      </c>
      <c r="L187" s="230">
        <f>Proj_Inputs!$B$46+(Proj_Inputs!$C$46-Proj_Inputs!$B$46)*F187</f>
        <v>4.0430000000000021E-2</v>
      </c>
      <c r="M187" s="230">
        <f>Proj_Inputs!$B$47+(Proj_Inputs!$C$47-Proj_Inputs!$B$47)*G187</f>
        <v>6.4300250000000003E-2</v>
      </c>
      <c r="N187" s="231">
        <f>(1+H187)*(Proj_Inputs!$B$20+J187)/Proj_Inputs!$B$20*((Proj_Inputs!$B$21+I187)*(1-Proj_Inputs!$B$24)*NPV_Pirelli!$B$47+NPV_Pirelli!$B$49)+(1+K187)*NPV_Pirelli!$B$48</f>
        <v>34.523823605608072</v>
      </c>
      <c r="O187" s="231">
        <f>(1+H187)*(Proj_Inputs!$C$20+L187)/Proj_Inputs!$C$20*((Proj_Inputs!$C$21+I187)*(1-Proj_Inputs!$C$24)*NPV_Hankook!$B$47+NPV_Hankook!$B$49)+(1+M187)*NPV_Hankook!$B$48</f>
        <v>-274.47481228251854</v>
      </c>
    </row>
    <row r="188" spans="1:15" x14ac:dyDescent="0.2">
      <c r="A188" s="228">
        <v>164</v>
      </c>
      <c r="B188" s="229">
        <v>1.9542E-2</v>
      </c>
      <c r="C188" s="229">
        <v>0.92755900000000002</v>
      </c>
      <c r="D188" s="229">
        <v>0.78345299999999995</v>
      </c>
      <c r="E188" s="229">
        <v>0.99568100000000004</v>
      </c>
      <c r="F188" s="229">
        <v>1.0555E-2</v>
      </c>
      <c r="G188" s="229">
        <v>0.36421399999999998</v>
      </c>
      <c r="H188" s="230">
        <f>Proj_Inputs!$B$44+(Proj_Inputs!$C$44-Proj_Inputs!$B$44)*B188</f>
        <v>-9.6091599999999999E-2</v>
      </c>
      <c r="I188" s="230">
        <f>Proj_Inputs!$B$45+(Proj_Inputs!$C$45-Proj_Inputs!$B$45)*C188</f>
        <v>3.4204720000000001E-2</v>
      </c>
      <c r="J188" s="230">
        <f>Proj_Inputs!$B$46+(Proj_Inputs!$C$46-Proj_Inputs!$B$46)*D188</f>
        <v>6.6906000000000188E-3</v>
      </c>
      <c r="K188" s="230">
        <f>Proj_Inputs!$B$47+(Proj_Inputs!$C$47-Proj_Inputs!$B$47)*E188</f>
        <v>0.19892025000000002</v>
      </c>
      <c r="L188" s="230">
        <f>Proj_Inputs!$B$46+(Proj_Inputs!$C$46-Proj_Inputs!$B$46)*F188</f>
        <v>-0.14788899999999999</v>
      </c>
      <c r="M188" s="230">
        <f>Proj_Inputs!$B$47+(Proj_Inputs!$C$47-Proj_Inputs!$B$47)*G188</f>
        <v>4.1053499999999993E-2</v>
      </c>
      <c r="N188" s="231">
        <f>(1+H188)*(Proj_Inputs!$B$20+J188)/Proj_Inputs!$B$20*((Proj_Inputs!$B$21+I188)*(1-Proj_Inputs!$B$24)*NPV_Pirelli!$B$47+NPV_Pirelli!$B$49)+(1+K188)*NPV_Pirelli!$B$48</f>
        <v>334.50769422400265</v>
      </c>
      <c r="O188" s="231">
        <f>(1+H188)*(Proj_Inputs!$C$20+L188)/Proj_Inputs!$C$20*((Proj_Inputs!$C$21+I188)*(1-Proj_Inputs!$C$24)*NPV_Hankook!$B$47+NPV_Hankook!$B$49)+(1+M188)*NPV_Hankook!$B$48</f>
        <v>-223.04907640821568</v>
      </c>
    </row>
    <row r="189" spans="1:15" x14ac:dyDescent="0.2">
      <c r="A189" s="228">
        <v>165</v>
      </c>
      <c r="B189" s="229">
        <v>0.18364</v>
      </c>
      <c r="C189" s="229">
        <v>5.3772E-2</v>
      </c>
      <c r="D189" s="229">
        <v>0.34500500000000001</v>
      </c>
      <c r="E189" s="229">
        <v>0.69573600000000002</v>
      </c>
      <c r="F189" s="229">
        <v>0.90827100000000005</v>
      </c>
      <c r="G189" s="229">
        <v>0.17142499999999999</v>
      </c>
      <c r="H189" s="230">
        <f>Proj_Inputs!$B$44+(Proj_Inputs!$C$44-Proj_Inputs!$B$44)*B189</f>
        <v>-6.3271999999999995E-2</v>
      </c>
      <c r="I189" s="230">
        <f>Proj_Inputs!$B$45+(Proj_Inputs!$C$45-Proj_Inputs!$B$45)*C189</f>
        <v>-3.5698239999999999E-2</v>
      </c>
      <c r="J189" s="230">
        <f>Proj_Inputs!$B$46+(Proj_Inputs!$C$46-Proj_Inputs!$B$46)*D189</f>
        <v>-8.0998999999999988E-2</v>
      </c>
      <c r="K189" s="230">
        <f>Proj_Inputs!$B$47+(Proj_Inputs!$C$47-Proj_Inputs!$B$47)*E189</f>
        <v>0.123934</v>
      </c>
      <c r="L189" s="230">
        <f>Proj_Inputs!$B$46+(Proj_Inputs!$C$46-Proj_Inputs!$B$46)*F189</f>
        <v>3.1654200000000021E-2</v>
      </c>
      <c r="M189" s="230">
        <f>Proj_Inputs!$B$47+(Proj_Inputs!$C$47-Proj_Inputs!$B$47)*G189</f>
        <v>-7.1437500000000043E-3</v>
      </c>
      <c r="N189" s="231">
        <f>(1+H189)*(Proj_Inputs!$B$20+J189)/Proj_Inputs!$B$20*((Proj_Inputs!$B$21+I189)*(1-Proj_Inputs!$B$24)*NPV_Pirelli!$B$47+NPV_Pirelli!$B$49)+(1+K189)*NPV_Pirelli!$B$48</f>
        <v>-56.785356720674599</v>
      </c>
      <c r="O189" s="231">
        <f>(1+H189)*(Proj_Inputs!$C$20+L189)/Proj_Inputs!$C$20*((Proj_Inputs!$C$21+I189)*(1-Proj_Inputs!$C$24)*NPV_Hankook!$B$47+NPV_Hankook!$B$49)+(1+M189)*NPV_Hankook!$B$48</f>
        <v>-351.21498073168141</v>
      </c>
    </row>
    <row r="190" spans="1:15" x14ac:dyDescent="0.2">
      <c r="A190" s="228">
        <v>166</v>
      </c>
      <c r="B190" s="229">
        <v>0.32000299999999998</v>
      </c>
      <c r="C190" s="229">
        <v>0.63811200000000001</v>
      </c>
      <c r="D190" s="229">
        <v>0.70467900000000006</v>
      </c>
      <c r="E190" s="229">
        <v>0.78978400000000004</v>
      </c>
      <c r="F190" s="229">
        <v>0.159137</v>
      </c>
      <c r="G190" s="229">
        <v>0.46883999999999998</v>
      </c>
      <c r="H190" s="230">
        <f>Proj_Inputs!$B$44+(Proj_Inputs!$C$44-Proj_Inputs!$B$44)*B190</f>
        <v>-3.5999400000000001E-2</v>
      </c>
      <c r="I190" s="230">
        <f>Proj_Inputs!$B$45+(Proj_Inputs!$C$45-Proj_Inputs!$B$45)*C190</f>
        <v>1.1048960000000004E-2</v>
      </c>
      <c r="J190" s="230">
        <f>Proj_Inputs!$B$46+(Proj_Inputs!$C$46-Proj_Inputs!$B$46)*D190</f>
        <v>-9.0641999999999667E-3</v>
      </c>
      <c r="K190" s="230">
        <f>Proj_Inputs!$B$47+(Proj_Inputs!$C$47-Proj_Inputs!$B$47)*E190</f>
        <v>0.14744600000000002</v>
      </c>
      <c r="L190" s="230">
        <f>Proj_Inputs!$B$46+(Proj_Inputs!$C$46-Proj_Inputs!$B$46)*F190</f>
        <v>-0.11817259999999999</v>
      </c>
      <c r="M190" s="230">
        <f>Proj_Inputs!$B$47+(Proj_Inputs!$C$47-Proj_Inputs!$B$47)*G190</f>
        <v>6.7209999999999992E-2</v>
      </c>
      <c r="N190" s="231">
        <f>(1+H190)*(Proj_Inputs!$B$20+J190)/Proj_Inputs!$B$20*((Proj_Inputs!$B$21+I190)*(1-Proj_Inputs!$B$24)*NPV_Pirelli!$B$47+NPV_Pirelli!$B$49)+(1+K190)*NPV_Pirelli!$B$48</f>
        <v>299.74837997014822</v>
      </c>
      <c r="O190" s="231">
        <f>(1+H190)*(Proj_Inputs!$C$20+L190)/Proj_Inputs!$C$20*((Proj_Inputs!$C$21+I190)*(1-Proj_Inputs!$C$24)*NPV_Hankook!$B$47+NPV_Hankook!$B$49)+(1+M190)*NPV_Hankook!$B$48</f>
        <v>-279.05237282197993</v>
      </c>
    </row>
    <row r="191" spans="1:15" x14ac:dyDescent="0.2">
      <c r="A191" s="228">
        <v>167</v>
      </c>
      <c r="B191" s="229">
        <v>0.86694400000000005</v>
      </c>
      <c r="C191" s="229">
        <v>2.6627999999999999E-2</v>
      </c>
      <c r="D191" s="229">
        <v>0.60870000000000002</v>
      </c>
      <c r="E191" s="229">
        <v>8.6414000000000005E-2</v>
      </c>
      <c r="F191" s="229">
        <v>0.36324800000000002</v>
      </c>
      <c r="G191" s="229">
        <v>0.33450999999999997</v>
      </c>
      <c r="H191" s="230">
        <f>Proj_Inputs!$B$44+(Proj_Inputs!$C$44-Proj_Inputs!$B$44)*B191</f>
        <v>7.3388800000000004E-2</v>
      </c>
      <c r="I191" s="230">
        <f>Proj_Inputs!$B$45+(Proj_Inputs!$C$45-Proj_Inputs!$B$45)*C191</f>
        <v>-3.7869760000000002E-2</v>
      </c>
      <c r="J191" s="230">
        <f>Proj_Inputs!$B$46+(Proj_Inputs!$C$46-Proj_Inputs!$B$46)*D191</f>
        <v>-2.825999999999998E-2</v>
      </c>
      <c r="K191" s="230">
        <f>Proj_Inputs!$B$47+(Proj_Inputs!$C$47-Proj_Inputs!$B$47)*E191</f>
        <v>-2.8396500000000002E-2</v>
      </c>
      <c r="L191" s="230">
        <f>Proj_Inputs!$B$46+(Proj_Inputs!$C$46-Proj_Inputs!$B$46)*F191</f>
        <v>-7.7350399999999986E-2</v>
      </c>
      <c r="M191" s="230">
        <f>Proj_Inputs!$B$47+(Proj_Inputs!$C$47-Proj_Inputs!$B$47)*G191</f>
        <v>3.3627499999999991E-2</v>
      </c>
      <c r="N191" s="231">
        <f>(1+H191)*(Proj_Inputs!$B$20+J191)/Proj_Inputs!$B$20*((Proj_Inputs!$B$21+I191)*(1-Proj_Inputs!$B$24)*NPV_Pirelli!$B$47+NPV_Pirelli!$B$49)+(1+K191)*NPV_Pirelli!$B$48</f>
        <v>231.51146138782838</v>
      </c>
      <c r="O191" s="231">
        <f>(1+H191)*(Proj_Inputs!$C$20+L191)/Proj_Inputs!$C$20*((Proj_Inputs!$C$21+I191)*(1-Proj_Inputs!$C$24)*NPV_Hankook!$B$47+NPV_Hankook!$B$49)+(1+M191)*NPV_Hankook!$B$48</f>
        <v>-403.74402446927695</v>
      </c>
    </row>
    <row r="192" spans="1:15" x14ac:dyDescent="0.2">
      <c r="A192" s="228">
        <v>168</v>
      </c>
      <c r="B192" s="229">
        <v>0.83647499999999997</v>
      </c>
      <c r="C192" s="229">
        <v>0.74718099999999998</v>
      </c>
      <c r="D192" s="229">
        <v>0.12098100000000001</v>
      </c>
      <c r="E192" s="229">
        <v>0.36294100000000001</v>
      </c>
      <c r="F192" s="229">
        <v>0.15012700000000001</v>
      </c>
      <c r="G192" s="229">
        <v>0.95844200000000002</v>
      </c>
      <c r="H192" s="230">
        <f>Proj_Inputs!$B$44+(Proj_Inputs!$C$44-Proj_Inputs!$B$44)*B192</f>
        <v>6.7294999999999994E-2</v>
      </c>
      <c r="I192" s="230">
        <f>Proj_Inputs!$B$45+(Proj_Inputs!$C$45-Proj_Inputs!$B$45)*C192</f>
        <v>1.9774479999999997E-2</v>
      </c>
      <c r="J192" s="230">
        <f>Proj_Inputs!$B$46+(Proj_Inputs!$C$46-Proj_Inputs!$B$46)*D192</f>
        <v>-0.12580379999999999</v>
      </c>
      <c r="K192" s="230">
        <f>Proj_Inputs!$B$47+(Proj_Inputs!$C$47-Proj_Inputs!$B$47)*E192</f>
        <v>4.0735250000000001E-2</v>
      </c>
      <c r="L192" s="230">
        <f>Proj_Inputs!$B$46+(Proj_Inputs!$C$46-Proj_Inputs!$B$46)*F192</f>
        <v>-0.11997459999999999</v>
      </c>
      <c r="M192" s="230">
        <f>Proj_Inputs!$B$47+(Proj_Inputs!$C$47-Proj_Inputs!$B$47)*G192</f>
        <v>0.18961050000000002</v>
      </c>
      <c r="N192" s="231">
        <f>(1+H192)*(Proj_Inputs!$B$20+J192)/Proj_Inputs!$B$20*((Proj_Inputs!$B$21+I192)*(1-Proj_Inputs!$B$24)*NPV_Pirelli!$B$47+NPV_Pirelli!$B$49)+(1+K192)*NPV_Pirelli!$B$48</f>
        <v>387.76409162393759</v>
      </c>
      <c r="O192" s="231">
        <f>(1+H192)*(Proj_Inputs!$C$20+L192)/Proj_Inputs!$C$20*((Proj_Inputs!$C$21+I192)*(1-Proj_Inputs!$C$24)*NPV_Hankook!$B$47+NPV_Hankook!$B$49)+(1+M192)*NPV_Hankook!$B$48</f>
        <v>-265.4566281032146</v>
      </c>
    </row>
    <row r="193" spans="1:15" x14ac:dyDescent="0.2">
      <c r="A193" s="228">
        <v>169</v>
      </c>
      <c r="B193" s="229">
        <v>0.59708899999999998</v>
      </c>
      <c r="C193" s="229">
        <v>4.1329999999999999E-2</v>
      </c>
      <c r="D193" s="229">
        <v>0.50479300000000005</v>
      </c>
      <c r="E193" s="229">
        <v>0.598553</v>
      </c>
      <c r="F193" s="229">
        <v>7.8609999999999999E-2</v>
      </c>
      <c r="G193" s="229">
        <v>0.66735500000000003</v>
      </c>
      <c r="H193" s="230">
        <f>Proj_Inputs!$B$44+(Proj_Inputs!$C$44-Proj_Inputs!$B$44)*B193</f>
        <v>1.9417799999999999E-2</v>
      </c>
      <c r="I193" s="230">
        <f>Proj_Inputs!$B$45+(Proj_Inputs!$C$45-Proj_Inputs!$B$45)*C193</f>
        <v>-3.66936E-2</v>
      </c>
      <c r="J193" s="230">
        <f>Proj_Inputs!$B$46+(Proj_Inputs!$C$46-Proj_Inputs!$B$46)*D193</f>
        <v>-4.9041399999999985E-2</v>
      </c>
      <c r="K193" s="230">
        <f>Proj_Inputs!$B$47+(Proj_Inputs!$C$47-Proj_Inputs!$B$47)*E193</f>
        <v>9.9638249999999998E-2</v>
      </c>
      <c r="L193" s="230">
        <f>Proj_Inputs!$B$46+(Proj_Inputs!$C$46-Proj_Inputs!$B$46)*F193</f>
        <v>-0.13427800000000001</v>
      </c>
      <c r="M193" s="230">
        <f>Proj_Inputs!$B$47+(Proj_Inputs!$C$47-Proj_Inputs!$B$47)*G193</f>
        <v>0.11683875000000001</v>
      </c>
      <c r="N193" s="231">
        <f>(1+H193)*(Proj_Inputs!$B$20+J193)/Proj_Inputs!$B$20*((Proj_Inputs!$B$21+I193)*(1-Proj_Inputs!$B$24)*NPV_Pirelli!$B$47+NPV_Pirelli!$B$49)+(1+K193)*NPV_Pirelli!$B$48</f>
        <v>64.851392899360349</v>
      </c>
      <c r="O193" s="231">
        <f>(1+H193)*(Proj_Inputs!$C$20+L193)/Proj_Inputs!$C$20*((Proj_Inputs!$C$21+I193)*(1-Proj_Inputs!$C$24)*NPV_Hankook!$B$47+NPV_Hankook!$B$49)+(1+M193)*NPV_Hankook!$B$48</f>
        <v>-586.20183850574597</v>
      </c>
    </row>
    <row r="194" spans="1:15" x14ac:dyDescent="0.2">
      <c r="A194" s="228">
        <v>170</v>
      </c>
      <c r="B194" s="229">
        <v>0.33783400000000002</v>
      </c>
      <c r="C194" s="229">
        <v>0.554975</v>
      </c>
      <c r="D194" s="229">
        <v>0.66395599999999999</v>
      </c>
      <c r="E194" s="229">
        <v>0.21534300000000001</v>
      </c>
      <c r="F194" s="229">
        <v>0.66567299999999996</v>
      </c>
      <c r="G194" s="229">
        <v>0.100415</v>
      </c>
      <c r="H194" s="230">
        <f>Proj_Inputs!$B$44+(Proj_Inputs!$C$44-Proj_Inputs!$B$44)*B194</f>
        <v>-3.2433199999999995E-2</v>
      </c>
      <c r="I194" s="230">
        <f>Proj_Inputs!$B$45+(Proj_Inputs!$C$45-Proj_Inputs!$B$45)*C194</f>
        <v>4.3979999999999991E-3</v>
      </c>
      <c r="J194" s="230">
        <f>Proj_Inputs!$B$46+(Proj_Inputs!$C$46-Proj_Inputs!$B$46)*D194</f>
        <v>-1.7208799999999996E-2</v>
      </c>
      <c r="K194" s="230">
        <f>Proj_Inputs!$B$47+(Proj_Inputs!$C$47-Proj_Inputs!$B$47)*E194</f>
        <v>3.8357499999999989E-3</v>
      </c>
      <c r="L194" s="230">
        <f>Proj_Inputs!$B$46+(Proj_Inputs!$C$46-Proj_Inputs!$B$46)*F194</f>
        <v>-1.6865400000000003E-2</v>
      </c>
      <c r="M194" s="230">
        <f>Proj_Inputs!$B$47+(Proj_Inputs!$C$47-Proj_Inputs!$B$47)*G194</f>
        <v>-2.4896250000000002E-2</v>
      </c>
      <c r="N194" s="231">
        <f>(1+H194)*(Proj_Inputs!$B$20+J194)/Proj_Inputs!$B$20*((Proj_Inputs!$B$21+I194)*(1-Proj_Inputs!$B$24)*NPV_Pirelli!$B$47+NPV_Pirelli!$B$49)+(1+K194)*NPV_Pirelli!$B$48</f>
        <v>367.31991281758883</v>
      </c>
      <c r="O194" s="231">
        <f>(1+H194)*(Proj_Inputs!$C$20+L194)/Proj_Inputs!$C$20*((Proj_Inputs!$C$21+I194)*(1-Proj_Inputs!$C$24)*NPV_Hankook!$B$47+NPV_Hankook!$B$49)+(1+M194)*NPV_Hankook!$B$48</f>
        <v>-86.447574278512548</v>
      </c>
    </row>
    <row r="195" spans="1:15" x14ac:dyDescent="0.2">
      <c r="A195" s="228">
        <v>171</v>
      </c>
      <c r="B195" s="229">
        <v>0.186413</v>
      </c>
      <c r="C195" s="229">
        <v>0.12062299999999999</v>
      </c>
      <c r="D195" s="229">
        <v>0.42164200000000002</v>
      </c>
      <c r="E195" s="229">
        <v>0.66236399999999995</v>
      </c>
      <c r="F195" s="229">
        <v>0.30908999999999998</v>
      </c>
      <c r="G195" s="229">
        <v>0.89764699999999997</v>
      </c>
      <c r="H195" s="230">
        <f>Proj_Inputs!$B$44+(Proj_Inputs!$C$44-Proj_Inputs!$B$44)*B195</f>
        <v>-6.2717400000000006E-2</v>
      </c>
      <c r="I195" s="230">
        <f>Proj_Inputs!$B$45+(Proj_Inputs!$C$45-Proj_Inputs!$B$45)*C195</f>
        <v>-3.0350160000000001E-2</v>
      </c>
      <c r="J195" s="230">
        <f>Proj_Inputs!$B$46+(Proj_Inputs!$C$46-Proj_Inputs!$B$46)*D195</f>
        <v>-6.5671599999999983E-2</v>
      </c>
      <c r="K195" s="230">
        <f>Proj_Inputs!$B$47+(Proj_Inputs!$C$47-Proj_Inputs!$B$47)*E195</f>
        <v>0.11559099999999999</v>
      </c>
      <c r="L195" s="230">
        <f>Proj_Inputs!$B$46+(Proj_Inputs!$C$46-Proj_Inputs!$B$46)*F195</f>
        <v>-8.8181999999999996E-2</v>
      </c>
      <c r="M195" s="230">
        <f>Proj_Inputs!$B$47+(Proj_Inputs!$C$47-Proj_Inputs!$B$47)*G195</f>
        <v>0.17441174999999998</v>
      </c>
      <c r="N195" s="231">
        <f>(1+H195)*(Proj_Inputs!$B$20+J195)/Proj_Inputs!$B$20*((Proj_Inputs!$B$21+I195)*(1-Proj_Inputs!$B$24)*NPV_Pirelli!$B$47+NPV_Pirelli!$B$49)+(1+K195)*NPV_Pirelli!$B$48</f>
        <v>-5.441939426849558</v>
      </c>
      <c r="O195" s="231">
        <f>(1+H195)*(Proj_Inputs!$C$20+L195)/Proj_Inputs!$C$20*((Proj_Inputs!$C$21+I195)*(1-Proj_Inputs!$C$24)*NPV_Hankook!$B$47+NPV_Hankook!$B$49)+(1+M195)*NPV_Hankook!$B$48</f>
        <v>-634.40664883825207</v>
      </c>
    </row>
    <row r="196" spans="1:15" x14ac:dyDescent="0.2">
      <c r="A196" s="228">
        <v>172</v>
      </c>
      <c r="B196" s="229">
        <v>0.106401</v>
      </c>
      <c r="C196" s="229">
        <v>0.93547199999999997</v>
      </c>
      <c r="D196" s="229">
        <v>0.238956</v>
      </c>
      <c r="E196" s="229">
        <v>0.64993100000000004</v>
      </c>
      <c r="F196" s="229">
        <v>0.682952</v>
      </c>
      <c r="G196" s="229">
        <v>0.69270299999999996</v>
      </c>
      <c r="H196" s="230">
        <f>Proj_Inputs!$B$44+(Proj_Inputs!$C$44-Proj_Inputs!$B$44)*B196</f>
        <v>-7.8719800000000006E-2</v>
      </c>
      <c r="I196" s="230">
        <f>Proj_Inputs!$B$45+(Proj_Inputs!$C$45-Proj_Inputs!$B$45)*C196</f>
        <v>3.4837760000000002E-2</v>
      </c>
      <c r="J196" s="230">
        <f>Proj_Inputs!$B$46+(Proj_Inputs!$C$46-Proj_Inputs!$B$46)*D196</f>
        <v>-0.10220879999999999</v>
      </c>
      <c r="K196" s="230">
        <f>Proj_Inputs!$B$47+(Proj_Inputs!$C$47-Proj_Inputs!$B$47)*E196</f>
        <v>0.11248275000000001</v>
      </c>
      <c r="L196" s="230">
        <f>Proj_Inputs!$B$46+(Proj_Inputs!$C$46-Proj_Inputs!$B$46)*F196</f>
        <v>-1.3409599999999994E-2</v>
      </c>
      <c r="M196" s="230">
        <f>Proj_Inputs!$B$47+(Proj_Inputs!$C$47-Proj_Inputs!$B$47)*G196</f>
        <v>0.12317574999999999</v>
      </c>
      <c r="N196" s="231">
        <f>(1+H196)*(Proj_Inputs!$B$20+J196)/Proj_Inputs!$B$20*((Proj_Inputs!$B$21+I196)*(1-Proj_Inputs!$B$24)*NPV_Pirelli!$B$47+NPV_Pirelli!$B$49)+(1+K196)*NPV_Pirelli!$B$48</f>
        <v>273.79110342162494</v>
      </c>
      <c r="O196" s="231">
        <f>(1+H196)*(Proj_Inputs!$C$20+L196)/Proj_Inputs!$C$20*((Proj_Inputs!$C$21+I196)*(1-Proj_Inputs!$C$24)*NPV_Hankook!$B$47+NPV_Hankook!$B$49)+(1+M196)*NPV_Hankook!$B$48</f>
        <v>-115.6020279503748</v>
      </c>
    </row>
    <row r="197" spans="1:15" x14ac:dyDescent="0.2">
      <c r="A197" s="228">
        <v>173</v>
      </c>
      <c r="B197" s="229">
        <v>0.77251300000000001</v>
      </c>
      <c r="C197" s="229">
        <v>0.62921899999999997</v>
      </c>
      <c r="D197" s="229">
        <v>0.63444400000000001</v>
      </c>
      <c r="E197" s="229">
        <v>8.1896999999999998E-2</v>
      </c>
      <c r="F197" s="229">
        <v>0.114345</v>
      </c>
      <c r="G197" s="229">
        <v>0.67140699999999998</v>
      </c>
      <c r="H197" s="230">
        <f>Proj_Inputs!$B$44+(Proj_Inputs!$C$44-Proj_Inputs!$B$44)*B197</f>
        <v>5.4502600000000012E-2</v>
      </c>
      <c r="I197" s="230">
        <f>Proj_Inputs!$B$45+(Proj_Inputs!$C$45-Proj_Inputs!$B$45)*C197</f>
        <v>1.0337519999999996E-2</v>
      </c>
      <c r="J197" s="230">
        <f>Proj_Inputs!$B$46+(Proj_Inputs!$C$46-Proj_Inputs!$B$46)*D197</f>
        <v>-2.3111199999999998E-2</v>
      </c>
      <c r="K197" s="230">
        <f>Proj_Inputs!$B$47+(Proj_Inputs!$C$47-Proj_Inputs!$B$47)*E197</f>
        <v>-2.9525750000000003E-2</v>
      </c>
      <c r="L197" s="230">
        <f>Proj_Inputs!$B$46+(Proj_Inputs!$C$46-Proj_Inputs!$B$46)*F197</f>
        <v>-0.12713099999999999</v>
      </c>
      <c r="M197" s="230">
        <f>Proj_Inputs!$B$47+(Proj_Inputs!$C$47-Proj_Inputs!$B$47)*G197</f>
        <v>0.11785174999999999</v>
      </c>
      <c r="N197" s="231">
        <f>(1+H197)*(Proj_Inputs!$B$20+J197)/Proj_Inputs!$B$20*((Proj_Inputs!$B$21+I197)*(1-Proj_Inputs!$B$24)*NPV_Pirelli!$B$47+NPV_Pirelli!$B$49)+(1+K197)*NPV_Pirelli!$B$48</f>
        <v>527.03625980628215</v>
      </c>
      <c r="O197" s="231">
        <f>(1+H197)*(Proj_Inputs!$C$20+L197)/Proj_Inputs!$C$20*((Proj_Inputs!$C$21+I197)*(1-Proj_Inputs!$C$24)*NPV_Hankook!$B$47+NPV_Hankook!$B$49)+(1+M197)*NPV_Hankook!$B$48</f>
        <v>-264.0870769295841</v>
      </c>
    </row>
    <row r="198" spans="1:15" x14ac:dyDescent="0.2">
      <c r="A198" s="228">
        <v>174</v>
      </c>
      <c r="B198" s="229">
        <v>0.29374</v>
      </c>
      <c r="C198" s="229">
        <v>9.1753000000000001E-2</v>
      </c>
      <c r="D198" s="229">
        <v>5.5244000000000001E-2</v>
      </c>
      <c r="E198" s="229">
        <v>0.49595400000000001</v>
      </c>
      <c r="F198" s="229">
        <v>0.47679100000000002</v>
      </c>
      <c r="G198" s="229">
        <v>0.50771599999999995</v>
      </c>
      <c r="H198" s="230">
        <f>Proj_Inputs!$B$44+(Proj_Inputs!$C$44-Proj_Inputs!$B$44)*B198</f>
        <v>-4.1252000000000004E-2</v>
      </c>
      <c r="I198" s="230">
        <f>Proj_Inputs!$B$45+(Proj_Inputs!$C$45-Proj_Inputs!$B$45)*C198</f>
        <v>-3.2659760000000003E-2</v>
      </c>
      <c r="J198" s="230">
        <f>Proj_Inputs!$B$46+(Proj_Inputs!$C$46-Proj_Inputs!$B$46)*D198</f>
        <v>-0.1389512</v>
      </c>
      <c r="K198" s="230">
        <f>Proj_Inputs!$B$47+(Proj_Inputs!$C$47-Proj_Inputs!$B$47)*E198</f>
        <v>7.3988499999999999E-2</v>
      </c>
      <c r="L198" s="230">
        <f>Proj_Inputs!$B$46+(Proj_Inputs!$C$46-Proj_Inputs!$B$46)*F198</f>
        <v>-5.464179999999999E-2</v>
      </c>
      <c r="M198" s="230">
        <f>Proj_Inputs!$B$47+(Proj_Inputs!$C$47-Proj_Inputs!$B$47)*G198</f>
        <v>7.6928999999999984E-2</v>
      </c>
      <c r="N198" s="231">
        <f>(1+H198)*(Proj_Inputs!$B$20+J198)/Proj_Inputs!$B$20*((Proj_Inputs!$B$21+I198)*(1-Proj_Inputs!$B$24)*NPV_Pirelli!$B$47+NPV_Pirelli!$B$49)+(1+K198)*NPV_Pirelli!$B$48</f>
        <v>-42.736093148207829</v>
      </c>
      <c r="O198" s="231">
        <f>(1+H198)*(Proj_Inputs!$C$20+L198)/Proj_Inputs!$C$20*((Proj_Inputs!$C$21+I198)*(1-Proj_Inputs!$C$24)*NPV_Hankook!$B$47+NPV_Hankook!$B$49)+(1+M198)*NPV_Hankook!$B$48</f>
        <v>-487.57224962706687</v>
      </c>
    </row>
    <row r="199" spans="1:15" x14ac:dyDescent="0.2">
      <c r="A199" s="228">
        <v>175</v>
      </c>
      <c r="B199" s="229">
        <v>0.86477300000000001</v>
      </c>
      <c r="C199" s="229">
        <v>0.777362</v>
      </c>
      <c r="D199" s="229">
        <v>0.24071799999999999</v>
      </c>
      <c r="E199" s="229">
        <v>0.1517</v>
      </c>
      <c r="F199" s="229">
        <v>6.6453999999999999E-2</v>
      </c>
      <c r="G199" s="229">
        <v>0.300709</v>
      </c>
      <c r="H199" s="230">
        <f>Proj_Inputs!$B$44+(Proj_Inputs!$C$44-Proj_Inputs!$B$44)*B199</f>
        <v>7.2954600000000008E-2</v>
      </c>
      <c r="I199" s="230">
        <f>Proj_Inputs!$B$45+(Proj_Inputs!$C$45-Proj_Inputs!$B$45)*C199</f>
        <v>2.2188960000000001E-2</v>
      </c>
      <c r="J199" s="230">
        <f>Proj_Inputs!$B$46+(Proj_Inputs!$C$46-Proj_Inputs!$B$46)*D199</f>
        <v>-0.10185639999999999</v>
      </c>
      <c r="K199" s="230">
        <f>Proj_Inputs!$B$47+(Proj_Inputs!$C$47-Proj_Inputs!$B$47)*E199</f>
        <v>-1.2075000000000002E-2</v>
      </c>
      <c r="L199" s="230">
        <f>Proj_Inputs!$B$46+(Proj_Inputs!$C$46-Proj_Inputs!$B$46)*F199</f>
        <v>-0.1367092</v>
      </c>
      <c r="M199" s="230">
        <f>Proj_Inputs!$B$47+(Proj_Inputs!$C$47-Proj_Inputs!$B$47)*G199</f>
        <v>2.5177249999999998E-2</v>
      </c>
      <c r="N199" s="231">
        <f>(1+H199)*(Proj_Inputs!$B$20+J199)/Proj_Inputs!$B$20*((Proj_Inputs!$B$21+I199)*(1-Proj_Inputs!$B$24)*NPV_Pirelli!$B$47+NPV_Pirelli!$B$49)+(1+K199)*NPV_Pirelli!$B$48</f>
        <v>487.58725278321151</v>
      </c>
      <c r="O199" s="231">
        <f>(1+H199)*(Proj_Inputs!$C$20+L199)/Proj_Inputs!$C$20*((Proj_Inputs!$C$21+I199)*(1-Proj_Inputs!$C$24)*NPV_Hankook!$B$47+NPV_Hankook!$B$49)+(1+M199)*NPV_Hankook!$B$48</f>
        <v>-77.304162750830301</v>
      </c>
    </row>
    <row r="200" spans="1:15" x14ac:dyDescent="0.2">
      <c r="A200" s="228">
        <v>176</v>
      </c>
      <c r="B200" s="229">
        <v>0.66407000000000005</v>
      </c>
      <c r="C200" s="229">
        <v>0.651644</v>
      </c>
      <c r="D200" s="229">
        <v>0.75294300000000003</v>
      </c>
      <c r="E200" s="229">
        <v>0.60527399999999998</v>
      </c>
      <c r="F200" s="229">
        <v>0.58194500000000005</v>
      </c>
      <c r="G200" s="229">
        <v>8.2059999999999994E-2</v>
      </c>
      <c r="H200" s="230">
        <f>Proj_Inputs!$B$44+(Proj_Inputs!$C$44-Proj_Inputs!$B$44)*B200</f>
        <v>3.281400000000001E-2</v>
      </c>
      <c r="I200" s="230">
        <f>Proj_Inputs!$B$45+(Proj_Inputs!$C$45-Proj_Inputs!$B$45)*C200</f>
        <v>1.213152E-2</v>
      </c>
      <c r="J200" s="230">
        <f>Proj_Inputs!$B$46+(Proj_Inputs!$C$46-Proj_Inputs!$B$46)*D200</f>
        <v>5.8860000000002244E-4</v>
      </c>
      <c r="K200" s="230">
        <f>Proj_Inputs!$B$47+(Proj_Inputs!$C$47-Proj_Inputs!$B$47)*E200</f>
        <v>0.10131849999999999</v>
      </c>
      <c r="L200" s="230">
        <f>Proj_Inputs!$B$46+(Proj_Inputs!$C$46-Proj_Inputs!$B$46)*F200</f>
        <v>-3.3610999999999974E-2</v>
      </c>
      <c r="M200" s="230">
        <f>Proj_Inputs!$B$47+(Proj_Inputs!$C$47-Proj_Inputs!$B$47)*G200</f>
        <v>-2.9485000000000004E-2</v>
      </c>
      <c r="N200" s="231">
        <f>(1+H200)*(Proj_Inputs!$B$20+J200)/Proj_Inputs!$B$20*((Proj_Inputs!$B$21+I200)*(1-Proj_Inputs!$B$24)*NPV_Pirelli!$B$47+NPV_Pirelli!$B$49)+(1+K200)*NPV_Pirelli!$B$48</f>
        <v>442.98317998975472</v>
      </c>
      <c r="O200" s="231">
        <f>(1+H200)*(Proj_Inputs!$C$20+L200)/Proj_Inputs!$C$20*((Proj_Inputs!$C$21+I200)*(1-Proj_Inputs!$C$24)*NPV_Hankook!$B$47+NPV_Hankook!$B$49)+(1+M200)*NPV_Hankook!$B$48</f>
        <v>21.039195865982265</v>
      </c>
    </row>
    <row r="201" spans="1:15" x14ac:dyDescent="0.2">
      <c r="A201" s="228">
        <v>177</v>
      </c>
      <c r="B201" s="229">
        <v>1.8862E-2</v>
      </c>
      <c r="C201" s="229">
        <v>0.86871399999999999</v>
      </c>
      <c r="D201" s="229">
        <v>0.20343800000000001</v>
      </c>
      <c r="E201" s="229">
        <v>7.5509000000000007E-2</v>
      </c>
      <c r="F201" s="229">
        <v>0.29200999999999999</v>
      </c>
      <c r="G201" s="229">
        <v>0.508849</v>
      </c>
      <c r="H201" s="230">
        <f>Proj_Inputs!$B$44+(Proj_Inputs!$C$44-Proj_Inputs!$B$44)*B201</f>
        <v>-9.622760000000001E-2</v>
      </c>
      <c r="I201" s="230">
        <f>Proj_Inputs!$B$45+(Proj_Inputs!$C$45-Proj_Inputs!$B$45)*C201</f>
        <v>2.9497119999999995E-2</v>
      </c>
      <c r="J201" s="230">
        <f>Proj_Inputs!$B$46+(Proj_Inputs!$C$46-Proj_Inputs!$B$46)*D201</f>
        <v>-0.10931239999999999</v>
      </c>
      <c r="K201" s="230">
        <f>Proj_Inputs!$B$47+(Proj_Inputs!$C$47-Proj_Inputs!$B$47)*E201</f>
        <v>-3.1122750000000001E-2</v>
      </c>
      <c r="L201" s="230">
        <f>Proj_Inputs!$B$46+(Proj_Inputs!$C$46-Proj_Inputs!$B$46)*F201</f>
        <v>-9.1597999999999985E-2</v>
      </c>
      <c r="M201" s="230">
        <f>Proj_Inputs!$B$47+(Proj_Inputs!$C$47-Proj_Inputs!$B$47)*G201</f>
        <v>7.7212249999999996E-2</v>
      </c>
      <c r="N201" s="231">
        <f>(1+H201)*(Proj_Inputs!$B$20+J201)/Proj_Inputs!$B$20*((Proj_Inputs!$B$21+I201)*(1-Proj_Inputs!$B$24)*NPV_Pirelli!$B$47+NPV_Pirelli!$B$49)+(1+K201)*NPV_Pirelli!$B$48</f>
        <v>328.84790106504045</v>
      </c>
      <c r="O201" s="231">
        <f>(1+H201)*(Proj_Inputs!$C$20+L201)/Proj_Inputs!$C$20*((Proj_Inputs!$C$21+I201)*(1-Proj_Inputs!$C$24)*NPV_Hankook!$B$47+NPV_Hankook!$B$49)+(1+M201)*NPV_Hankook!$B$48</f>
        <v>-217.51551433748136</v>
      </c>
    </row>
    <row r="202" spans="1:15" x14ac:dyDescent="0.2">
      <c r="A202" s="228">
        <v>178</v>
      </c>
      <c r="B202" s="229">
        <v>0.46436300000000003</v>
      </c>
      <c r="C202" s="229">
        <v>0.50407299999999999</v>
      </c>
      <c r="D202" s="229">
        <v>0.75034599999999996</v>
      </c>
      <c r="E202" s="229">
        <v>0.78998699999999999</v>
      </c>
      <c r="F202" s="229">
        <v>0.670153</v>
      </c>
      <c r="G202" s="229">
        <v>0.96429799999999999</v>
      </c>
      <c r="H202" s="230">
        <f>Proj_Inputs!$B$44+(Proj_Inputs!$C$44-Proj_Inputs!$B$44)*B202</f>
        <v>-7.1273999999999921E-3</v>
      </c>
      <c r="I202" s="230">
        <f>Proj_Inputs!$B$45+(Proj_Inputs!$C$45-Proj_Inputs!$B$45)*C202</f>
        <v>3.2584000000000085E-4</v>
      </c>
      <c r="J202" s="230">
        <f>Proj_Inputs!$B$46+(Proj_Inputs!$C$46-Proj_Inputs!$B$46)*D202</f>
        <v>6.9200000000019246E-5</v>
      </c>
      <c r="K202" s="230">
        <f>Proj_Inputs!$B$47+(Proj_Inputs!$C$47-Proj_Inputs!$B$47)*E202</f>
        <v>0.14749675000000001</v>
      </c>
      <c r="L202" s="230">
        <f>Proj_Inputs!$B$46+(Proj_Inputs!$C$46-Proj_Inputs!$B$46)*F202</f>
        <v>-1.5969399999999995E-2</v>
      </c>
      <c r="M202" s="230">
        <f>Proj_Inputs!$B$47+(Proj_Inputs!$C$47-Proj_Inputs!$B$47)*G202</f>
        <v>0.19107449999999998</v>
      </c>
      <c r="N202" s="231">
        <f>(1+H202)*(Proj_Inputs!$B$20+J202)/Proj_Inputs!$B$20*((Proj_Inputs!$B$21+I202)*(1-Proj_Inputs!$B$24)*NPV_Pirelli!$B$47+NPV_Pirelli!$B$49)+(1+K202)*NPV_Pirelli!$B$48</f>
        <v>282.62702441254351</v>
      </c>
      <c r="O202" s="231">
        <f>(1+H202)*(Proj_Inputs!$C$20+L202)/Proj_Inputs!$C$20*((Proj_Inputs!$C$21+I202)*(1-Proj_Inputs!$C$24)*NPV_Hankook!$B$47+NPV_Hankook!$B$49)+(1+M202)*NPV_Hankook!$B$48</f>
        <v>-336.4068220832728</v>
      </c>
    </row>
    <row r="203" spans="1:15" x14ac:dyDescent="0.2">
      <c r="A203" s="228">
        <v>179</v>
      </c>
      <c r="B203" s="229">
        <v>0.64029700000000001</v>
      </c>
      <c r="C203" s="229">
        <v>3.9889000000000001E-2</v>
      </c>
      <c r="D203" s="229">
        <v>0.39299800000000001</v>
      </c>
      <c r="E203" s="229">
        <v>0.466893</v>
      </c>
      <c r="F203" s="229">
        <v>0.26413799999999998</v>
      </c>
      <c r="G203" s="229">
        <v>0.40296399999999999</v>
      </c>
      <c r="H203" s="230">
        <f>Proj_Inputs!$B$44+(Proj_Inputs!$C$44-Proj_Inputs!$B$44)*B203</f>
        <v>2.8059400000000012E-2</v>
      </c>
      <c r="I203" s="230">
        <f>Proj_Inputs!$B$45+(Proj_Inputs!$C$45-Proj_Inputs!$B$45)*C203</f>
        <v>-3.6808880000000002E-2</v>
      </c>
      <c r="J203" s="230">
        <f>Proj_Inputs!$B$46+(Proj_Inputs!$C$46-Proj_Inputs!$B$46)*D203</f>
        <v>-7.1400399999999989E-2</v>
      </c>
      <c r="K203" s="230">
        <f>Proj_Inputs!$B$47+(Proj_Inputs!$C$47-Proj_Inputs!$B$47)*E203</f>
        <v>6.6723249999999998E-2</v>
      </c>
      <c r="L203" s="230">
        <f>Proj_Inputs!$B$46+(Proj_Inputs!$C$46-Proj_Inputs!$B$46)*F203</f>
        <v>-9.7172399999999992E-2</v>
      </c>
      <c r="M203" s="230">
        <f>Proj_Inputs!$B$47+(Proj_Inputs!$C$47-Proj_Inputs!$B$47)*G203</f>
        <v>5.0740999999999994E-2</v>
      </c>
      <c r="N203" s="231">
        <f>(1+H203)*(Proj_Inputs!$B$20+J203)/Proj_Inputs!$B$20*((Proj_Inputs!$B$21+I203)*(1-Proj_Inputs!$B$24)*NPV_Pirelli!$B$47+NPV_Pirelli!$B$49)+(1+K203)*NPV_Pirelli!$B$48</f>
        <v>73.334014703712683</v>
      </c>
      <c r="O203" s="231">
        <f>(1+H203)*(Proj_Inputs!$C$20+L203)/Proj_Inputs!$C$20*((Proj_Inputs!$C$21+I203)*(1-Proj_Inputs!$C$24)*NPV_Hankook!$B$47+NPV_Hankook!$B$49)+(1+M203)*NPV_Hankook!$B$48</f>
        <v>-469.1451812554601</v>
      </c>
    </row>
    <row r="204" spans="1:15" x14ac:dyDescent="0.2">
      <c r="A204" s="228">
        <v>180</v>
      </c>
      <c r="B204" s="229">
        <v>0.18909000000000001</v>
      </c>
      <c r="C204" s="229">
        <v>0.95896800000000004</v>
      </c>
      <c r="D204" s="229">
        <v>0.43247200000000002</v>
      </c>
      <c r="E204" s="229">
        <v>0.60245000000000004</v>
      </c>
      <c r="F204" s="229">
        <v>3.7964999999999999E-2</v>
      </c>
      <c r="G204" s="229">
        <v>0.86434</v>
      </c>
      <c r="H204" s="230">
        <f>Proj_Inputs!$B$44+(Proj_Inputs!$C$44-Proj_Inputs!$B$44)*B204</f>
        <v>-6.2182000000000001E-2</v>
      </c>
      <c r="I204" s="230">
        <f>Proj_Inputs!$B$45+(Proj_Inputs!$C$45-Proj_Inputs!$B$45)*C204</f>
        <v>3.6717440000000011E-2</v>
      </c>
      <c r="J204" s="230">
        <f>Proj_Inputs!$B$46+(Proj_Inputs!$C$46-Proj_Inputs!$B$46)*D204</f>
        <v>-6.3505599999999982E-2</v>
      </c>
      <c r="K204" s="230">
        <f>Proj_Inputs!$B$47+(Proj_Inputs!$C$47-Proj_Inputs!$B$47)*E204</f>
        <v>0.10061250000000001</v>
      </c>
      <c r="L204" s="230">
        <f>Proj_Inputs!$B$46+(Proj_Inputs!$C$46-Proj_Inputs!$B$46)*F204</f>
        <v>-0.14240700000000001</v>
      </c>
      <c r="M204" s="230">
        <f>Proj_Inputs!$B$47+(Proj_Inputs!$C$47-Proj_Inputs!$B$47)*G204</f>
        <v>0.16608499999999998</v>
      </c>
      <c r="N204" s="231">
        <f>(1+H204)*(Proj_Inputs!$B$20+J204)/Proj_Inputs!$B$20*((Proj_Inputs!$B$21+I204)*(1-Proj_Inputs!$B$24)*NPV_Pirelli!$B$47+NPV_Pirelli!$B$49)+(1+K204)*NPV_Pirelli!$B$48</f>
        <v>370.77431404076174</v>
      </c>
      <c r="O204" s="231">
        <f>(1+H204)*(Proj_Inputs!$C$20+L204)/Proj_Inputs!$C$20*((Proj_Inputs!$C$21+I204)*(1-Proj_Inputs!$C$24)*NPV_Hankook!$B$47+NPV_Hankook!$B$49)+(1+M204)*NPV_Hankook!$B$48</f>
        <v>-310.36862143915096</v>
      </c>
    </row>
    <row r="205" spans="1:15" x14ac:dyDescent="0.2">
      <c r="A205" s="228">
        <v>181</v>
      </c>
      <c r="B205" s="229">
        <v>0.185975</v>
      </c>
      <c r="C205" s="229">
        <v>0.628135</v>
      </c>
      <c r="D205" s="229">
        <v>0.79715000000000003</v>
      </c>
      <c r="E205" s="229">
        <v>1.8995000000000001E-2</v>
      </c>
      <c r="F205" s="229">
        <v>0.81645999999999996</v>
      </c>
      <c r="G205" s="229">
        <v>0.53177600000000003</v>
      </c>
      <c r="H205" s="230">
        <f>Proj_Inputs!$B$44+(Proj_Inputs!$C$44-Proj_Inputs!$B$44)*B205</f>
        <v>-6.2805E-2</v>
      </c>
      <c r="I205" s="230">
        <f>Proj_Inputs!$B$45+(Proj_Inputs!$C$45-Proj_Inputs!$B$45)*C205</f>
        <v>1.0250799999999997E-2</v>
      </c>
      <c r="J205" s="230">
        <f>Proj_Inputs!$B$46+(Proj_Inputs!$C$46-Proj_Inputs!$B$46)*D205</f>
        <v>9.4300000000000217E-3</v>
      </c>
      <c r="K205" s="230">
        <f>Proj_Inputs!$B$47+(Proj_Inputs!$C$47-Proj_Inputs!$B$47)*E205</f>
        <v>-4.525125E-2</v>
      </c>
      <c r="L205" s="230">
        <f>Proj_Inputs!$B$46+(Proj_Inputs!$C$46-Proj_Inputs!$B$46)*F205</f>
        <v>1.3291999999999998E-2</v>
      </c>
      <c r="M205" s="230">
        <f>Proj_Inputs!$B$47+(Proj_Inputs!$C$47-Proj_Inputs!$B$47)*G205</f>
        <v>8.2944000000000004E-2</v>
      </c>
      <c r="N205" s="231">
        <f>(1+H205)*(Proj_Inputs!$B$20+J205)/Proj_Inputs!$B$20*((Proj_Inputs!$B$21+I205)*(1-Proj_Inputs!$B$24)*NPV_Pirelli!$B$47+NPV_Pirelli!$B$49)+(1+K205)*NPV_Pirelli!$B$48</f>
        <v>437.8012228745614</v>
      </c>
      <c r="O205" s="231">
        <f>(1+H205)*(Proj_Inputs!$C$20+L205)/Proj_Inputs!$C$20*((Proj_Inputs!$C$21+I205)*(1-Proj_Inputs!$C$24)*NPV_Hankook!$B$47+NPV_Hankook!$B$49)+(1+M205)*NPV_Hankook!$B$48</f>
        <v>-171.98545828548072</v>
      </c>
    </row>
    <row r="206" spans="1:15" x14ac:dyDescent="0.2">
      <c r="A206" s="228">
        <v>182</v>
      </c>
      <c r="B206" s="229">
        <v>0.70279199999999997</v>
      </c>
      <c r="C206" s="229">
        <v>0.68970299999999995</v>
      </c>
      <c r="D206" s="229">
        <v>0.12694800000000001</v>
      </c>
      <c r="E206" s="229">
        <v>0.42816300000000002</v>
      </c>
      <c r="F206" s="229">
        <v>0.48427500000000001</v>
      </c>
      <c r="G206" s="229">
        <v>0.55956799999999995</v>
      </c>
      <c r="H206" s="230">
        <f>Proj_Inputs!$B$44+(Proj_Inputs!$C$44-Proj_Inputs!$B$44)*B206</f>
        <v>4.0558399999999994E-2</v>
      </c>
      <c r="I206" s="230">
        <f>Proj_Inputs!$B$45+(Proj_Inputs!$C$45-Proj_Inputs!$B$45)*C206</f>
        <v>1.5176239999999994E-2</v>
      </c>
      <c r="J206" s="230">
        <f>Proj_Inputs!$B$46+(Proj_Inputs!$C$46-Proj_Inputs!$B$46)*D206</f>
        <v>-0.1246104</v>
      </c>
      <c r="K206" s="230">
        <f>Proj_Inputs!$B$47+(Proj_Inputs!$C$47-Proj_Inputs!$B$47)*E206</f>
        <v>5.7040750000000001E-2</v>
      </c>
      <c r="L206" s="230">
        <f>Proj_Inputs!$B$46+(Proj_Inputs!$C$46-Proj_Inputs!$B$46)*F206</f>
        <v>-5.3144999999999984E-2</v>
      </c>
      <c r="M206" s="230">
        <f>Proj_Inputs!$B$47+(Proj_Inputs!$C$47-Proj_Inputs!$B$47)*G206</f>
        <v>8.9891999999999986E-2</v>
      </c>
      <c r="N206" s="231">
        <f>(1+H206)*(Proj_Inputs!$B$20+J206)/Proj_Inputs!$B$20*((Proj_Inputs!$B$21+I206)*(1-Proj_Inputs!$B$24)*NPV_Pirelli!$B$47+NPV_Pirelli!$B$49)+(1+K206)*NPV_Pirelli!$B$48</f>
        <v>320.95735643963474</v>
      </c>
      <c r="O206" s="231">
        <f>(1+H206)*(Proj_Inputs!$C$20+L206)/Proj_Inputs!$C$20*((Proj_Inputs!$C$21+I206)*(1-Proj_Inputs!$C$24)*NPV_Hankook!$B$47+NPV_Hankook!$B$49)+(1+M206)*NPV_Hankook!$B$48</f>
        <v>-114.90318526909186</v>
      </c>
    </row>
    <row r="207" spans="1:15" x14ac:dyDescent="0.2">
      <c r="A207" s="228">
        <v>183</v>
      </c>
      <c r="B207" s="229">
        <v>0.47947600000000001</v>
      </c>
      <c r="C207" s="229">
        <v>0.145844</v>
      </c>
      <c r="D207" s="229">
        <v>0.11541800000000001</v>
      </c>
      <c r="E207" s="229">
        <v>0.88358300000000001</v>
      </c>
      <c r="F207" s="229">
        <v>0.81708199999999997</v>
      </c>
      <c r="G207" s="229">
        <v>0.205257</v>
      </c>
      <c r="H207" s="230">
        <f>Proj_Inputs!$B$44+(Proj_Inputs!$C$44-Proj_Inputs!$B$44)*B207</f>
        <v>-4.1047999999999918E-3</v>
      </c>
      <c r="I207" s="230">
        <f>Proj_Inputs!$B$45+(Proj_Inputs!$C$45-Proj_Inputs!$B$45)*C207</f>
        <v>-2.833248E-2</v>
      </c>
      <c r="J207" s="230">
        <f>Proj_Inputs!$B$46+(Proj_Inputs!$C$46-Proj_Inputs!$B$46)*D207</f>
        <v>-0.12691639999999998</v>
      </c>
      <c r="K207" s="230">
        <f>Proj_Inputs!$B$47+(Proj_Inputs!$C$47-Proj_Inputs!$B$47)*E207</f>
        <v>0.17089575000000001</v>
      </c>
      <c r="L207" s="230">
        <f>Proj_Inputs!$B$46+(Proj_Inputs!$C$46-Proj_Inputs!$B$46)*F207</f>
        <v>1.3416400000000023E-2</v>
      </c>
      <c r="M207" s="230">
        <f>Proj_Inputs!$B$47+(Proj_Inputs!$C$47-Proj_Inputs!$B$47)*G207</f>
        <v>1.314249999999996E-3</v>
      </c>
      <c r="N207" s="231">
        <f>(1+H207)*(Proj_Inputs!$B$20+J207)/Proj_Inputs!$B$20*((Proj_Inputs!$B$21+I207)*(1-Proj_Inputs!$B$24)*NPV_Pirelli!$B$47+NPV_Pirelli!$B$49)+(1+K207)*NPV_Pirelli!$B$48</f>
        <v>-51.878029955463148</v>
      </c>
      <c r="O207" s="231">
        <f>(1+H207)*(Proj_Inputs!$C$20+L207)/Proj_Inputs!$C$20*((Proj_Inputs!$C$21+I207)*(1-Proj_Inputs!$C$24)*NPV_Hankook!$B$47+NPV_Hankook!$B$49)+(1+M207)*NPV_Hankook!$B$48</f>
        <v>-275.99181735902982</v>
      </c>
    </row>
    <row r="208" spans="1:15" x14ac:dyDescent="0.2">
      <c r="A208" s="228">
        <v>184</v>
      </c>
      <c r="B208" s="229">
        <v>0.115089</v>
      </c>
      <c r="C208" s="229">
        <v>0.78108200000000005</v>
      </c>
      <c r="D208" s="229">
        <v>0.42110300000000001</v>
      </c>
      <c r="E208" s="229">
        <v>0.37195</v>
      </c>
      <c r="F208" s="229">
        <v>0.39455400000000002</v>
      </c>
      <c r="G208" s="229">
        <v>0.90074699999999996</v>
      </c>
      <c r="H208" s="230">
        <f>Proj_Inputs!$B$44+(Proj_Inputs!$C$44-Proj_Inputs!$B$44)*B208</f>
        <v>-7.6982200000000001E-2</v>
      </c>
      <c r="I208" s="230">
        <f>Proj_Inputs!$B$45+(Proj_Inputs!$C$45-Proj_Inputs!$B$45)*C208</f>
        <v>2.2486560000000003E-2</v>
      </c>
      <c r="J208" s="230">
        <f>Proj_Inputs!$B$46+(Proj_Inputs!$C$46-Proj_Inputs!$B$46)*D208</f>
        <v>-6.5779399999999988E-2</v>
      </c>
      <c r="K208" s="230">
        <f>Proj_Inputs!$B$47+(Proj_Inputs!$C$47-Proj_Inputs!$B$47)*E208</f>
        <v>4.2987499999999998E-2</v>
      </c>
      <c r="L208" s="230">
        <f>Proj_Inputs!$B$46+(Proj_Inputs!$C$46-Proj_Inputs!$B$46)*F208</f>
        <v>-7.1089199999999991E-2</v>
      </c>
      <c r="M208" s="230">
        <f>Proj_Inputs!$B$47+(Proj_Inputs!$C$47-Proj_Inputs!$B$47)*G208</f>
        <v>0.17518675</v>
      </c>
      <c r="N208" s="231">
        <f>(1+H208)*(Proj_Inputs!$B$20+J208)/Proj_Inputs!$B$20*((Proj_Inputs!$B$21+I208)*(1-Proj_Inputs!$B$24)*NPV_Pirelli!$B$47+NPV_Pirelli!$B$49)+(1+K208)*NPV_Pirelli!$B$48</f>
        <v>318.02646039043509</v>
      </c>
      <c r="O208" s="231">
        <f>(1+H208)*(Proj_Inputs!$C$20+L208)/Proj_Inputs!$C$20*((Proj_Inputs!$C$21+I208)*(1-Proj_Inputs!$C$24)*NPV_Hankook!$B$47+NPV_Hankook!$B$49)+(1+M208)*NPV_Hankook!$B$48</f>
        <v>-323.44776491665289</v>
      </c>
    </row>
    <row r="209" spans="1:15" x14ac:dyDescent="0.2">
      <c r="A209" s="228">
        <v>185</v>
      </c>
      <c r="B209" s="229">
        <v>1.3357000000000001E-2</v>
      </c>
      <c r="C209" s="229">
        <v>0.124097</v>
      </c>
      <c r="D209" s="229">
        <v>0.39101900000000001</v>
      </c>
      <c r="E209" s="229">
        <v>0.76021499999999997</v>
      </c>
      <c r="F209" s="229">
        <v>0.34680100000000003</v>
      </c>
      <c r="G209" s="229">
        <v>0.47768300000000002</v>
      </c>
      <c r="H209" s="230">
        <f>Proj_Inputs!$B$44+(Proj_Inputs!$C$44-Proj_Inputs!$B$44)*B209</f>
        <v>-9.7328600000000001E-2</v>
      </c>
      <c r="I209" s="230">
        <f>Proj_Inputs!$B$45+(Proj_Inputs!$C$45-Proj_Inputs!$B$45)*C209</f>
        <v>-3.007224E-2</v>
      </c>
      <c r="J209" s="230">
        <f>Proj_Inputs!$B$46+(Proj_Inputs!$C$46-Proj_Inputs!$B$46)*D209</f>
        <v>-7.1796199999999991E-2</v>
      </c>
      <c r="K209" s="230">
        <f>Proj_Inputs!$B$47+(Proj_Inputs!$C$47-Proj_Inputs!$B$47)*E209</f>
        <v>0.14005374999999998</v>
      </c>
      <c r="L209" s="230">
        <f>Proj_Inputs!$B$46+(Proj_Inputs!$C$46-Proj_Inputs!$B$46)*F209</f>
        <v>-8.0639799999999984E-2</v>
      </c>
      <c r="M209" s="230">
        <f>Proj_Inputs!$B$47+(Proj_Inputs!$C$47-Proj_Inputs!$B$47)*G209</f>
        <v>6.9420750000000003E-2</v>
      </c>
      <c r="N209" s="231">
        <f>(1+H209)*(Proj_Inputs!$B$20+J209)/Proj_Inputs!$B$20*((Proj_Inputs!$B$21+I209)*(1-Proj_Inputs!$B$24)*NPV_Pirelli!$B$47+NPV_Pirelli!$B$49)+(1+K209)*NPV_Pirelli!$B$48</f>
        <v>-61.75369334939046</v>
      </c>
      <c r="O209" s="231">
        <f>(1+H209)*(Proj_Inputs!$C$20+L209)/Proj_Inputs!$C$20*((Proj_Inputs!$C$21+I209)*(1-Proj_Inputs!$C$24)*NPV_Hankook!$B$47+NPV_Hankook!$B$49)+(1+M209)*NPV_Hankook!$B$48</f>
        <v>-531.18008691730665</v>
      </c>
    </row>
    <row r="210" spans="1:15" x14ac:dyDescent="0.2">
      <c r="A210" s="228">
        <v>186</v>
      </c>
      <c r="B210" s="229">
        <v>0.780331</v>
      </c>
      <c r="C210" s="229">
        <v>0.24457200000000001</v>
      </c>
      <c r="D210" s="229">
        <v>0.76333399999999996</v>
      </c>
      <c r="E210" s="229">
        <v>0.77426099999999998</v>
      </c>
      <c r="F210" s="229">
        <v>0.193163</v>
      </c>
      <c r="G210" s="229">
        <v>0.77450300000000005</v>
      </c>
      <c r="H210" s="230">
        <f>Proj_Inputs!$B$44+(Proj_Inputs!$C$44-Proj_Inputs!$B$44)*B210</f>
        <v>5.606620000000001E-2</v>
      </c>
      <c r="I210" s="230">
        <f>Proj_Inputs!$B$45+(Proj_Inputs!$C$45-Proj_Inputs!$B$45)*C210</f>
        <v>-2.0434239999999999E-2</v>
      </c>
      <c r="J210" s="230">
        <f>Proj_Inputs!$B$46+(Proj_Inputs!$C$46-Proj_Inputs!$B$46)*D210</f>
        <v>2.666799999999997E-3</v>
      </c>
      <c r="K210" s="230">
        <f>Proj_Inputs!$B$47+(Proj_Inputs!$C$47-Proj_Inputs!$B$47)*E210</f>
        <v>0.14356524999999998</v>
      </c>
      <c r="L210" s="230">
        <f>Proj_Inputs!$B$46+(Proj_Inputs!$C$46-Proj_Inputs!$B$46)*F210</f>
        <v>-0.11136739999999999</v>
      </c>
      <c r="M210" s="230">
        <f>Proj_Inputs!$B$47+(Proj_Inputs!$C$47-Proj_Inputs!$B$47)*G210</f>
        <v>0.14362575</v>
      </c>
      <c r="N210" s="231">
        <f>(1+H210)*(Proj_Inputs!$B$20+J210)/Proj_Inputs!$B$20*((Proj_Inputs!$B$21+I210)*(1-Proj_Inputs!$B$24)*NPV_Pirelli!$B$47+NPV_Pirelli!$B$49)+(1+K210)*NPV_Pirelli!$B$48</f>
        <v>228.90858822888197</v>
      </c>
      <c r="O210" s="231">
        <f>(1+H210)*(Proj_Inputs!$C$20+L210)/Proj_Inputs!$C$20*((Proj_Inputs!$C$21+I210)*(1-Proj_Inputs!$C$24)*NPV_Hankook!$B$47+NPV_Hankook!$B$49)+(1+M210)*NPV_Hankook!$B$48</f>
        <v>-466.51478428279927</v>
      </c>
    </row>
    <row r="211" spans="1:15" x14ac:dyDescent="0.2">
      <c r="A211" s="228">
        <v>187</v>
      </c>
      <c r="B211" s="229">
        <v>0.66035900000000003</v>
      </c>
      <c r="C211" s="229">
        <v>0.43645600000000001</v>
      </c>
      <c r="D211" s="229">
        <v>0.81635800000000003</v>
      </c>
      <c r="E211" s="229">
        <v>0.144784</v>
      </c>
      <c r="F211" s="229">
        <v>0.10427400000000001</v>
      </c>
      <c r="G211" s="229">
        <v>0.22972799999999999</v>
      </c>
      <c r="H211" s="230">
        <f>Proj_Inputs!$B$44+(Proj_Inputs!$C$44-Proj_Inputs!$B$44)*B211</f>
        <v>3.2071800000000011E-2</v>
      </c>
      <c r="I211" s="230">
        <f>Proj_Inputs!$B$45+(Proj_Inputs!$C$45-Proj_Inputs!$B$45)*C211</f>
        <v>-5.0835200000000011E-3</v>
      </c>
      <c r="J211" s="230">
        <f>Proj_Inputs!$B$46+(Proj_Inputs!$C$46-Proj_Inputs!$B$46)*D211</f>
        <v>1.3271600000000022E-2</v>
      </c>
      <c r="K211" s="230">
        <f>Proj_Inputs!$B$47+(Proj_Inputs!$C$47-Proj_Inputs!$B$47)*E211</f>
        <v>-1.3804000000000004E-2</v>
      </c>
      <c r="L211" s="230">
        <f>Proj_Inputs!$B$46+(Proj_Inputs!$C$46-Proj_Inputs!$B$46)*F211</f>
        <v>-0.12914519999999999</v>
      </c>
      <c r="M211" s="230">
        <f>Proj_Inputs!$B$47+(Proj_Inputs!$C$47-Proj_Inputs!$B$47)*G211</f>
        <v>7.4319999999999942E-3</v>
      </c>
      <c r="N211" s="231">
        <f>(1+H211)*(Proj_Inputs!$B$20+J211)/Proj_Inputs!$B$20*((Proj_Inputs!$B$21+I211)*(1-Proj_Inputs!$B$24)*NPV_Pirelli!$B$47+NPV_Pirelli!$B$49)+(1+K211)*NPV_Pirelli!$B$48</f>
        <v>439.71845831547148</v>
      </c>
      <c r="O211" s="231">
        <f>(1+H211)*(Proj_Inputs!$C$20+L211)/Proj_Inputs!$C$20*((Proj_Inputs!$C$21+I211)*(1-Proj_Inputs!$C$24)*NPV_Hankook!$B$47+NPV_Hankook!$B$49)+(1+M211)*NPV_Hankook!$B$48</f>
        <v>-253.74352963930664</v>
      </c>
    </row>
    <row r="212" spans="1:15" x14ac:dyDescent="0.2">
      <c r="A212" s="228">
        <v>188</v>
      </c>
      <c r="B212" s="229">
        <v>0.76131199999999999</v>
      </c>
      <c r="C212" s="229">
        <v>0.50860499999999997</v>
      </c>
      <c r="D212" s="229">
        <v>0.18484500000000001</v>
      </c>
      <c r="E212" s="229">
        <v>0.378722</v>
      </c>
      <c r="F212" s="229">
        <v>0.69410300000000003</v>
      </c>
      <c r="G212" s="229">
        <v>0.30737900000000001</v>
      </c>
      <c r="H212" s="230">
        <f>Proj_Inputs!$B$44+(Proj_Inputs!$C$44-Proj_Inputs!$B$44)*B212</f>
        <v>5.2262400000000014E-2</v>
      </c>
      <c r="I212" s="230">
        <f>Proj_Inputs!$B$45+(Proj_Inputs!$C$45-Proj_Inputs!$B$45)*C212</f>
        <v>6.8839999999999874E-4</v>
      </c>
      <c r="J212" s="230">
        <f>Proj_Inputs!$B$46+(Proj_Inputs!$C$46-Proj_Inputs!$B$46)*D212</f>
        <v>-0.11303099999999999</v>
      </c>
      <c r="K212" s="230">
        <f>Proj_Inputs!$B$47+(Proj_Inputs!$C$47-Proj_Inputs!$B$47)*E212</f>
        <v>4.4680499999999998E-2</v>
      </c>
      <c r="L212" s="230">
        <f>Proj_Inputs!$B$46+(Proj_Inputs!$C$46-Proj_Inputs!$B$46)*F212</f>
        <v>-1.1179399999999978E-2</v>
      </c>
      <c r="M212" s="230">
        <f>Proj_Inputs!$B$47+(Proj_Inputs!$C$47-Proj_Inputs!$B$47)*G212</f>
        <v>2.6844750000000001E-2</v>
      </c>
      <c r="N212" s="231">
        <f>(1+H212)*(Proj_Inputs!$B$20+J212)/Proj_Inputs!$B$20*((Proj_Inputs!$B$21+I212)*(1-Proj_Inputs!$B$24)*NPV_Pirelli!$B$47+NPV_Pirelli!$B$49)+(1+K212)*NPV_Pirelli!$B$48</f>
        <v>278.65182228217373</v>
      </c>
      <c r="O212" s="231">
        <f>(1+H212)*(Proj_Inputs!$C$20+L212)/Proj_Inputs!$C$20*((Proj_Inputs!$C$21+I212)*(1-Proj_Inputs!$C$24)*NPV_Hankook!$B$47+NPV_Hankook!$B$49)+(1+M212)*NPV_Hankook!$B$48</f>
        <v>-73.992422124828408</v>
      </c>
    </row>
    <row r="213" spans="1:15" x14ac:dyDescent="0.2">
      <c r="A213" s="228">
        <v>189</v>
      </c>
      <c r="B213" s="229">
        <v>0.65454500000000004</v>
      </c>
      <c r="C213" s="229">
        <v>0.31612699999999999</v>
      </c>
      <c r="D213" s="229">
        <v>6.9008E-2</v>
      </c>
      <c r="E213" s="229">
        <v>0.33673900000000001</v>
      </c>
      <c r="F213" s="229">
        <v>0.87474799999999997</v>
      </c>
      <c r="G213" s="229">
        <v>0.471582</v>
      </c>
      <c r="H213" s="230">
        <f>Proj_Inputs!$B$44+(Proj_Inputs!$C$44-Proj_Inputs!$B$44)*B213</f>
        <v>3.090900000000002E-2</v>
      </c>
      <c r="I213" s="230">
        <f>Proj_Inputs!$B$45+(Proj_Inputs!$C$45-Proj_Inputs!$B$45)*C213</f>
        <v>-1.4709840000000002E-2</v>
      </c>
      <c r="J213" s="230">
        <f>Proj_Inputs!$B$46+(Proj_Inputs!$C$46-Proj_Inputs!$B$46)*D213</f>
        <v>-0.1361984</v>
      </c>
      <c r="K213" s="230">
        <f>Proj_Inputs!$B$47+(Proj_Inputs!$C$47-Proj_Inputs!$B$47)*E213</f>
        <v>3.418475E-2</v>
      </c>
      <c r="L213" s="230">
        <f>Proj_Inputs!$B$46+(Proj_Inputs!$C$46-Proj_Inputs!$B$46)*F213</f>
        <v>2.4949600000000016E-2</v>
      </c>
      <c r="M213" s="230">
        <f>Proj_Inputs!$B$47+(Proj_Inputs!$C$47-Proj_Inputs!$B$47)*G213</f>
        <v>6.7895499999999998E-2</v>
      </c>
      <c r="N213" s="231">
        <f>(1+H213)*(Proj_Inputs!$B$20+J213)/Proj_Inputs!$B$20*((Proj_Inputs!$B$21+I213)*(1-Proj_Inputs!$B$24)*NPV_Pirelli!$B$47+NPV_Pirelli!$B$49)+(1+K213)*NPV_Pirelli!$B$48</f>
        <v>149.42946894048293</v>
      </c>
      <c r="O213" s="231">
        <f>(1+H213)*(Proj_Inputs!$C$20+L213)/Proj_Inputs!$C$20*((Proj_Inputs!$C$21+I213)*(1-Proj_Inputs!$C$24)*NPV_Hankook!$B$47+NPV_Hankook!$B$49)+(1+M213)*NPV_Hankook!$B$48</f>
        <v>-211.66663696320597</v>
      </c>
    </row>
    <row r="214" spans="1:15" x14ac:dyDescent="0.2">
      <c r="A214" s="228">
        <v>190</v>
      </c>
      <c r="B214" s="229">
        <v>0.41884100000000002</v>
      </c>
      <c r="C214" s="229">
        <v>0.20636399999999999</v>
      </c>
      <c r="D214" s="229">
        <v>0.51405599999999996</v>
      </c>
      <c r="E214" s="229">
        <v>0.54947800000000002</v>
      </c>
      <c r="F214" s="229">
        <v>0.36887700000000001</v>
      </c>
      <c r="G214" s="229">
        <v>0.65545699999999996</v>
      </c>
      <c r="H214" s="230">
        <f>Proj_Inputs!$B$44+(Proj_Inputs!$C$44-Proj_Inputs!$B$44)*B214</f>
        <v>-1.6231799999999991E-2</v>
      </c>
      <c r="I214" s="230">
        <f>Proj_Inputs!$B$45+(Proj_Inputs!$C$45-Proj_Inputs!$B$45)*C214</f>
        <v>-2.3490880000000002E-2</v>
      </c>
      <c r="J214" s="230">
        <f>Proj_Inputs!$B$46+(Proj_Inputs!$C$46-Proj_Inputs!$B$46)*D214</f>
        <v>-4.7188800000000003E-2</v>
      </c>
      <c r="K214" s="230">
        <f>Proj_Inputs!$B$47+(Proj_Inputs!$C$47-Proj_Inputs!$B$47)*E214</f>
        <v>8.7369500000000003E-2</v>
      </c>
      <c r="L214" s="230">
        <f>Proj_Inputs!$B$46+(Proj_Inputs!$C$46-Proj_Inputs!$B$46)*F214</f>
        <v>-7.622459999999999E-2</v>
      </c>
      <c r="M214" s="230">
        <f>Proj_Inputs!$B$47+(Proj_Inputs!$C$47-Proj_Inputs!$B$47)*G214</f>
        <v>0.11386424999999999</v>
      </c>
      <c r="N214" s="231">
        <f>(1+H214)*(Proj_Inputs!$B$20+J214)/Proj_Inputs!$B$20*((Proj_Inputs!$B$21+I214)*(1-Proj_Inputs!$B$24)*NPV_Pirelli!$B$47+NPV_Pirelli!$B$49)+(1+K214)*NPV_Pirelli!$B$48</f>
        <v>120.03303848833445</v>
      </c>
      <c r="O214" s="231">
        <f>(1+H214)*(Proj_Inputs!$C$20+L214)/Proj_Inputs!$C$20*((Proj_Inputs!$C$21+I214)*(1-Proj_Inputs!$C$24)*NPV_Hankook!$B$47+NPV_Hankook!$B$49)+(1+M214)*NPV_Hankook!$B$48</f>
        <v>-474.03562010000417</v>
      </c>
    </row>
    <row r="215" spans="1:15" x14ac:dyDescent="0.2">
      <c r="A215" s="228">
        <v>191</v>
      </c>
      <c r="B215" s="229">
        <v>0.63614099999999996</v>
      </c>
      <c r="C215" s="229">
        <v>0.78044999999999998</v>
      </c>
      <c r="D215" s="229">
        <v>7.51E-2</v>
      </c>
      <c r="E215" s="229">
        <v>0.57575699999999996</v>
      </c>
      <c r="F215" s="229">
        <v>0.63211600000000001</v>
      </c>
      <c r="G215" s="229">
        <v>0.46184199999999997</v>
      </c>
      <c r="H215" s="230">
        <f>Proj_Inputs!$B$44+(Proj_Inputs!$C$44-Proj_Inputs!$B$44)*B215</f>
        <v>2.722819999999998E-2</v>
      </c>
      <c r="I215" s="230">
        <f>Proj_Inputs!$B$45+(Proj_Inputs!$C$45-Proj_Inputs!$B$45)*C215</f>
        <v>2.2435999999999998E-2</v>
      </c>
      <c r="J215" s="230">
        <f>Proj_Inputs!$B$46+(Proj_Inputs!$C$46-Proj_Inputs!$B$46)*D215</f>
        <v>-0.13497999999999999</v>
      </c>
      <c r="K215" s="230">
        <f>Proj_Inputs!$B$47+(Proj_Inputs!$C$47-Proj_Inputs!$B$47)*E215</f>
        <v>9.3939249999999988E-2</v>
      </c>
      <c r="L215" s="230">
        <f>Proj_Inputs!$B$46+(Proj_Inputs!$C$46-Proj_Inputs!$B$46)*F215</f>
        <v>-2.3576799999999981E-2</v>
      </c>
      <c r="M215" s="230">
        <f>Proj_Inputs!$B$47+(Proj_Inputs!$C$47-Proj_Inputs!$B$47)*G215</f>
        <v>6.5460499999999991E-2</v>
      </c>
      <c r="N215" s="231">
        <f>(1+H215)*(Proj_Inputs!$B$20+J215)/Proj_Inputs!$B$20*((Proj_Inputs!$B$21+I215)*(1-Proj_Inputs!$B$24)*NPV_Pirelli!$B$47+NPV_Pirelli!$B$49)+(1+K215)*NPV_Pirelli!$B$48</f>
        <v>301.05675674896293</v>
      </c>
      <c r="O215" s="231">
        <f>(1+H215)*(Proj_Inputs!$C$20+L215)/Proj_Inputs!$C$20*((Proj_Inputs!$C$21+I215)*(1-Proj_Inputs!$C$24)*NPV_Hankook!$B$47+NPV_Hankook!$B$49)+(1+M215)*NPV_Hankook!$B$48</f>
        <v>-11.743130440581353</v>
      </c>
    </row>
    <row r="216" spans="1:15" x14ac:dyDescent="0.2">
      <c r="A216" s="228">
        <v>192</v>
      </c>
      <c r="B216" s="229">
        <v>0.91577200000000003</v>
      </c>
      <c r="C216" s="229">
        <v>0.83717900000000001</v>
      </c>
      <c r="D216" s="229">
        <v>0.55760799999999999</v>
      </c>
      <c r="E216" s="229">
        <v>0.74884899999999999</v>
      </c>
      <c r="F216" s="229">
        <v>0.102967</v>
      </c>
      <c r="G216" s="229">
        <v>0.10965</v>
      </c>
      <c r="H216" s="230">
        <f>Proj_Inputs!$B$44+(Proj_Inputs!$C$44-Proj_Inputs!$B$44)*B216</f>
        <v>8.3154400000000017E-2</v>
      </c>
      <c r="I216" s="230">
        <f>Proj_Inputs!$B$45+(Proj_Inputs!$C$45-Proj_Inputs!$B$45)*C216</f>
        <v>2.6974320000000003E-2</v>
      </c>
      <c r="J216" s="230">
        <f>Proj_Inputs!$B$46+(Proj_Inputs!$C$46-Proj_Inputs!$B$46)*D216</f>
        <v>-3.8478399999999996E-2</v>
      </c>
      <c r="K216" s="230">
        <f>Proj_Inputs!$B$47+(Proj_Inputs!$C$47-Proj_Inputs!$B$47)*E216</f>
        <v>0.13721224999999998</v>
      </c>
      <c r="L216" s="230">
        <f>Proj_Inputs!$B$46+(Proj_Inputs!$C$46-Proj_Inputs!$B$46)*F216</f>
        <v>-0.12940659999999998</v>
      </c>
      <c r="M216" s="230">
        <f>Proj_Inputs!$B$47+(Proj_Inputs!$C$47-Proj_Inputs!$B$47)*G216</f>
        <v>-2.2587500000000003E-2</v>
      </c>
      <c r="N216" s="231">
        <f>(1+H216)*(Proj_Inputs!$B$20+J216)/Proj_Inputs!$B$20*((Proj_Inputs!$B$21+I216)*(1-Proj_Inputs!$B$24)*NPV_Pirelli!$B$47+NPV_Pirelli!$B$49)+(1+K216)*NPV_Pirelli!$B$48</f>
        <v>514.14759781354496</v>
      </c>
      <c r="O216" s="231">
        <f>(1+H216)*(Proj_Inputs!$C$20+L216)/Proj_Inputs!$C$20*((Proj_Inputs!$C$21+I216)*(1-Proj_Inputs!$C$24)*NPV_Hankook!$B$47+NPV_Hankook!$B$49)+(1+M216)*NPV_Hankook!$B$48</f>
        <v>30.049330361646753</v>
      </c>
    </row>
    <row r="217" spans="1:15" x14ac:dyDescent="0.2">
      <c r="A217" s="228">
        <v>193</v>
      </c>
      <c r="B217" s="229">
        <v>0.65379799999999999</v>
      </c>
      <c r="C217" s="229">
        <v>0.86957300000000004</v>
      </c>
      <c r="D217" s="229">
        <v>0.103434</v>
      </c>
      <c r="E217" s="229">
        <v>0.144486</v>
      </c>
      <c r="F217" s="229">
        <v>0.41386099999999998</v>
      </c>
      <c r="G217" s="229">
        <v>0.94630899999999996</v>
      </c>
      <c r="H217" s="230">
        <f>Proj_Inputs!$B$44+(Proj_Inputs!$C$44-Proj_Inputs!$B$44)*B217</f>
        <v>3.0759599999999998E-2</v>
      </c>
      <c r="I217" s="230">
        <f>Proj_Inputs!$B$45+(Proj_Inputs!$C$45-Proj_Inputs!$B$45)*C217</f>
        <v>2.9565840000000003E-2</v>
      </c>
      <c r="J217" s="230">
        <f>Proj_Inputs!$B$46+(Proj_Inputs!$C$46-Proj_Inputs!$B$46)*D217</f>
        <v>-0.12931319999999999</v>
      </c>
      <c r="K217" s="230">
        <f>Proj_Inputs!$B$47+(Proj_Inputs!$C$47-Proj_Inputs!$B$47)*E217</f>
        <v>-1.3878500000000002E-2</v>
      </c>
      <c r="L217" s="230">
        <f>Proj_Inputs!$B$46+(Proj_Inputs!$C$46-Proj_Inputs!$B$46)*F217</f>
        <v>-6.722779999999999E-2</v>
      </c>
      <c r="M217" s="230">
        <f>Proj_Inputs!$B$47+(Proj_Inputs!$C$47-Proj_Inputs!$B$47)*G217</f>
        <v>0.18657724999999997</v>
      </c>
      <c r="N217" s="231">
        <f>(1+H217)*(Proj_Inputs!$B$20+J217)/Proj_Inputs!$B$20*((Proj_Inputs!$B$21+I217)*(1-Proj_Inputs!$B$24)*NPV_Pirelli!$B$47+NPV_Pirelli!$B$49)+(1+K217)*NPV_Pirelli!$B$48</f>
        <v>437.63330834087139</v>
      </c>
      <c r="O217" s="231">
        <f>(1+H217)*(Proj_Inputs!$C$20+L217)/Proj_Inputs!$C$20*((Proj_Inputs!$C$21+I217)*(1-Proj_Inputs!$C$24)*NPV_Hankook!$B$47+NPV_Hankook!$B$49)+(1+M217)*NPV_Hankook!$B$48</f>
        <v>-163.17318284406929</v>
      </c>
    </row>
    <row r="218" spans="1:15" x14ac:dyDescent="0.2">
      <c r="A218" s="228">
        <v>194</v>
      </c>
      <c r="B218" s="229">
        <v>0.237341</v>
      </c>
      <c r="C218" s="229">
        <v>0.31362899999999999</v>
      </c>
      <c r="D218" s="229">
        <v>0.86486099999999999</v>
      </c>
      <c r="E218" s="229">
        <v>0.32652700000000001</v>
      </c>
      <c r="F218" s="229">
        <v>0.189023</v>
      </c>
      <c r="G218" s="229">
        <v>0.977024</v>
      </c>
      <c r="H218" s="230">
        <f>Proj_Inputs!$B$44+(Proj_Inputs!$C$44-Proj_Inputs!$B$44)*B218</f>
        <v>-5.2531800000000003E-2</v>
      </c>
      <c r="I218" s="230">
        <f>Proj_Inputs!$B$45+(Proj_Inputs!$C$45-Proj_Inputs!$B$45)*C218</f>
        <v>-1.4909680000000002E-2</v>
      </c>
      <c r="J218" s="230">
        <f>Proj_Inputs!$B$46+(Proj_Inputs!$C$46-Proj_Inputs!$B$46)*D218</f>
        <v>2.2972200000000026E-2</v>
      </c>
      <c r="K218" s="230">
        <f>Proj_Inputs!$B$47+(Proj_Inputs!$C$47-Proj_Inputs!$B$47)*E218</f>
        <v>3.163175E-2</v>
      </c>
      <c r="L218" s="230">
        <f>Proj_Inputs!$B$46+(Proj_Inputs!$C$46-Proj_Inputs!$B$46)*F218</f>
        <v>-0.1121954</v>
      </c>
      <c r="M218" s="230">
        <f>Proj_Inputs!$B$47+(Proj_Inputs!$C$47-Proj_Inputs!$B$47)*G218</f>
        <v>0.19425599999999998</v>
      </c>
      <c r="N218" s="231">
        <f>(1+H218)*(Proj_Inputs!$B$20+J218)/Proj_Inputs!$B$20*((Proj_Inputs!$B$21+I218)*(1-Proj_Inputs!$B$24)*NPV_Pirelli!$B$47+NPV_Pirelli!$B$49)+(1+K218)*NPV_Pirelli!$B$48</f>
        <v>256.92673693616177</v>
      </c>
      <c r="O218" s="231">
        <f>(1+H218)*(Proj_Inputs!$C$20+L218)/Proj_Inputs!$C$20*((Proj_Inputs!$C$21+I218)*(1-Proj_Inputs!$C$24)*NPV_Hankook!$B$47+NPV_Hankook!$B$49)+(1+M218)*NPV_Hankook!$B$48</f>
        <v>-583.6613067808961</v>
      </c>
    </row>
    <row r="219" spans="1:15" x14ac:dyDescent="0.2">
      <c r="A219" s="228">
        <v>195</v>
      </c>
      <c r="B219" s="229">
        <v>0.14555000000000001</v>
      </c>
      <c r="C219" s="229">
        <v>0.85295600000000005</v>
      </c>
      <c r="D219" s="229">
        <v>0.961924</v>
      </c>
      <c r="E219" s="229">
        <v>0.67138200000000003</v>
      </c>
      <c r="F219" s="229">
        <v>0.96840999999999999</v>
      </c>
      <c r="G219" s="229">
        <v>0.23247799999999999</v>
      </c>
      <c r="H219" s="230">
        <f>Proj_Inputs!$B$44+(Proj_Inputs!$C$44-Proj_Inputs!$B$44)*B219</f>
        <v>-7.0890000000000009E-2</v>
      </c>
      <c r="I219" s="230">
        <f>Proj_Inputs!$B$45+(Proj_Inputs!$C$45-Proj_Inputs!$B$45)*C219</f>
        <v>2.8236480000000001E-2</v>
      </c>
      <c r="J219" s="230">
        <f>Proj_Inputs!$B$46+(Proj_Inputs!$C$46-Proj_Inputs!$B$46)*D219</f>
        <v>4.2384800000000028E-2</v>
      </c>
      <c r="K219" s="230">
        <f>Proj_Inputs!$B$47+(Proj_Inputs!$C$47-Proj_Inputs!$B$47)*E219</f>
        <v>0.11784550000000001</v>
      </c>
      <c r="L219" s="230">
        <f>Proj_Inputs!$B$46+(Proj_Inputs!$C$46-Proj_Inputs!$B$46)*F219</f>
        <v>4.3682000000000026E-2</v>
      </c>
      <c r="M219" s="230">
        <f>Proj_Inputs!$B$47+(Proj_Inputs!$C$47-Proj_Inputs!$B$47)*G219</f>
        <v>8.1194999999999948E-3</v>
      </c>
      <c r="N219" s="231">
        <f>(1+H219)*(Proj_Inputs!$B$20+J219)/Proj_Inputs!$B$20*((Proj_Inputs!$B$21+I219)*(1-Proj_Inputs!$B$24)*NPV_Pirelli!$B$47+NPV_Pirelli!$B$49)+(1+K219)*NPV_Pirelli!$B$48</f>
        <v>449.96457249971775</v>
      </c>
      <c r="O219" s="231">
        <f>(1+H219)*(Proj_Inputs!$C$20+L219)/Proj_Inputs!$C$20*((Proj_Inputs!$C$21+I219)*(1-Proj_Inputs!$C$24)*NPV_Hankook!$B$47+NPV_Hankook!$B$49)+(1+M219)*NPV_Hankook!$B$48</f>
        <v>61.638528073446878</v>
      </c>
    </row>
    <row r="220" spans="1:15" x14ac:dyDescent="0.2">
      <c r="A220" s="228">
        <v>196</v>
      </c>
      <c r="B220" s="229">
        <v>0.25459700000000002</v>
      </c>
      <c r="C220" s="229">
        <v>0.62867099999999998</v>
      </c>
      <c r="D220" s="229">
        <v>0.79735999999999996</v>
      </c>
      <c r="E220" s="229">
        <v>0.26603599999999999</v>
      </c>
      <c r="F220" s="229">
        <v>0.30081999999999998</v>
      </c>
      <c r="G220" s="229">
        <v>4.8992000000000001E-2</v>
      </c>
      <c r="H220" s="230">
        <f>Proj_Inputs!$B$44+(Proj_Inputs!$C$44-Proj_Inputs!$B$44)*B220</f>
        <v>-4.9080600000000002E-2</v>
      </c>
      <c r="I220" s="230">
        <f>Proj_Inputs!$B$45+(Proj_Inputs!$C$45-Proj_Inputs!$B$45)*C220</f>
        <v>1.0293679999999999E-2</v>
      </c>
      <c r="J220" s="230">
        <f>Proj_Inputs!$B$46+(Proj_Inputs!$C$46-Proj_Inputs!$B$46)*D220</f>
        <v>9.4720000000000082E-3</v>
      </c>
      <c r="K220" s="230">
        <f>Proj_Inputs!$B$47+(Proj_Inputs!$C$47-Proj_Inputs!$B$47)*E220</f>
        <v>1.6508999999999996E-2</v>
      </c>
      <c r="L220" s="230">
        <f>Proj_Inputs!$B$46+(Proj_Inputs!$C$46-Proj_Inputs!$B$46)*F220</f>
        <v>-8.9835999999999999E-2</v>
      </c>
      <c r="M220" s="230">
        <f>Proj_Inputs!$B$47+(Proj_Inputs!$C$47-Proj_Inputs!$B$47)*G220</f>
        <v>-3.7752000000000001E-2</v>
      </c>
      <c r="N220" s="231">
        <f>(1+H220)*(Proj_Inputs!$B$20+J220)/Proj_Inputs!$B$20*((Proj_Inputs!$B$21+I220)*(1-Proj_Inputs!$B$24)*NPV_Pirelli!$B$47+NPV_Pirelli!$B$49)+(1+K220)*NPV_Pirelli!$B$48</f>
        <v>406.85676913270947</v>
      </c>
      <c r="O220" s="231">
        <f>(1+H220)*(Proj_Inputs!$C$20+L220)/Proj_Inputs!$C$20*((Proj_Inputs!$C$21+I220)*(1-Proj_Inputs!$C$24)*NPV_Hankook!$B$47+NPV_Hankook!$B$49)+(1+M220)*NPV_Hankook!$B$48</f>
        <v>-140.0306660112808</v>
      </c>
    </row>
    <row r="221" spans="1:15" x14ac:dyDescent="0.2">
      <c r="A221" s="228">
        <v>197</v>
      </c>
      <c r="B221" s="229">
        <v>0.54782399999999998</v>
      </c>
      <c r="C221" s="229">
        <v>0.206817</v>
      </c>
      <c r="D221" s="229">
        <v>4.4012000000000003E-2</v>
      </c>
      <c r="E221" s="229">
        <v>0.17208000000000001</v>
      </c>
      <c r="F221" s="229">
        <v>0.16226299999999999</v>
      </c>
      <c r="G221" s="229">
        <v>1.4838E-2</v>
      </c>
      <c r="H221" s="230">
        <f>Proj_Inputs!$B$44+(Proj_Inputs!$C$44-Proj_Inputs!$B$44)*B221</f>
        <v>9.5647999999999983E-3</v>
      </c>
      <c r="I221" s="230">
        <f>Proj_Inputs!$B$45+(Proj_Inputs!$C$45-Proj_Inputs!$B$45)*C221</f>
        <v>-2.3454639999999999E-2</v>
      </c>
      <c r="J221" s="230">
        <f>Proj_Inputs!$B$46+(Proj_Inputs!$C$46-Proj_Inputs!$B$46)*D221</f>
        <v>-0.14119760000000001</v>
      </c>
      <c r="K221" s="230">
        <f>Proj_Inputs!$B$47+(Proj_Inputs!$C$47-Proj_Inputs!$B$47)*E221</f>
        <v>-6.9800000000000001E-3</v>
      </c>
      <c r="L221" s="230">
        <f>Proj_Inputs!$B$46+(Proj_Inputs!$C$46-Proj_Inputs!$B$46)*F221</f>
        <v>-0.1175474</v>
      </c>
      <c r="M221" s="230">
        <f>Proj_Inputs!$B$47+(Proj_Inputs!$C$47-Proj_Inputs!$B$47)*G221</f>
        <v>-4.6290500000000005E-2</v>
      </c>
      <c r="N221" s="231">
        <f>(1+H221)*(Proj_Inputs!$B$20+J221)/Proj_Inputs!$B$20*((Proj_Inputs!$B$21+I221)*(1-Proj_Inputs!$B$24)*NPV_Pirelli!$B$47+NPV_Pirelli!$B$49)+(1+K221)*NPV_Pirelli!$B$48</f>
        <v>109.67802179481055</v>
      </c>
      <c r="O221" s="231">
        <f>(1+H221)*(Proj_Inputs!$C$20+L221)/Proj_Inputs!$C$20*((Proj_Inputs!$C$21+I221)*(1-Proj_Inputs!$C$24)*NPV_Hankook!$B$47+NPV_Hankook!$B$49)+(1+M221)*NPV_Hankook!$B$48</f>
        <v>-308.26196831054835</v>
      </c>
    </row>
    <row r="222" spans="1:15" x14ac:dyDescent="0.2">
      <c r="A222" s="228">
        <v>198</v>
      </c>
      <c r="B222" s="229">
        <v>0.98748599999999997</v>
      </c>
      <c r="C222" s="229">
        <v>0.41154200000000002</v>
      </c>
      <c r="D222" s="229">
        <v>0.84062400000000004</v>
      </c>
      <c r="E222" s="229">
        <v>0.59921100000000005</v>
      </c>
      <c r="F222" s="229">
        <v>0.74128799999999995</v>
      </c>
      <c r="G222" s="229">
        <v>0.58817799999999998</v>
      </c>
      <c r="H222" s="230">
        <f>Proj_Inputs!$B$44+(Proj_Inputs!$C$44-Proj_Inputs!$B$44)*B222</f>
        <v>9.7497200000000006E-2</v>
      </c>
      <c r="I222" s="230">
        <f>Proj_Inputs!$B$45+(Proj_Inputs!$C$45-Proj_Inputs!$B$45)*C222</f>
        <v>-7.0766400000000021E-3</v>
      </c>
      <c r="J222" s="230">
        <f>Proj_Inputs!$B$46+(Proj_Inputs!$C$46-Proj_Inputs!$B$46)*D222</f>
        <v>1.8124800000000024E-2</v>
      </c>
      <c r="K222" s="230">
        <f>Proj_Inputs!$B$47+(Proj_Inputs!$C$47-Proj_Inputs!$B$47)*E222</f>
        <v>9.980275000000001E-2</v>
      </c>
      <c r="L222" s="230">
        <f>Proj_Inputs!$B$46+(Proj_Inputs!$C$46-Proj_Inputs!$B$46)*F222</f>
        <v>-1.7424000000000051E-3</v>
      </c>
      <c r="M222" s="230">
        <f>Proj_Inputs!$B$47+(Proj_Inputs!$C$47-Proj_Inputs!$B$47)*G222</f>
        <v>9.7044499999999992E-2</v>
      </c>
      <c r="N222" s="231">
        <f>(1+H222)*(Proj_Inputs!$B$20+J222)/Proj_Inputs!$B$20*((Proj_Inputs!$B$21+I222)*(1-Proj_Inputs!$B$24)*NPV_Pirelli!$B$47+NPV_Pirelli!$B$49)+(1+K222)*NPV_Pirelli!$B$48</f>
        <v>420.39067588952014</v>
      </c>
      <c r="O222" s="231">
        <f>(1+H222)*(Proj_Inputs!$C$20+L222)/Proj_Inputs!$C$20*((Proj_Inputs!$C$21+I222)*(1-Proj_Inputs!$C$24)*NPV_Hankook!$B$47+NPV_Hankook!$B$49)+(1+M222)*NPV_Hankook!$B$48</f>
        <v>-153.36792258020455</v>
      </c>
    </row>
    <row r="223" spans="1:15" x14ac:dyDescent="0.2">
      <c r="A223" s="228">
        <v>199</v>
      </c>
      <c r="B223" s="229">
        <v>5.2519999999999997E-3</v>
      </c>
      <c r="C223" s="229">
        <v>0.78998400000000002</v>
      </c>
      <c r="D223" s="229">
        <v>0.90999399999999997</v>
      </c>
      <c r="E223" s="229">
        <v>0.26775199999999999</v>
      </c>
      <c r="F223" s="229">
        <v>0.35335800000000001</v>
      </c>
      <c r="G223" s="229">
        <v>0.36460500000000001</v>
      </c>
      <c r="H223" s="230">
        <f>Proj_Inputs!$B$44+(Proj_Inputs!$C$44-Proj_Inputs!$B$44)*B223</f>
        <v>-9.8949599999999999E-2</v>
      </c>
      <c r="I223" s="230">
        <f>Proj_Inputs!$B$45+(Proj_Inputs!$C$45-Proj_Inputs!$B$45)*C223</f>
        <v>2.3198719999999999E-2</v>
      </c>
      <c r="J223" s="230">
        <f>Proj_Inputs!$B$46+(Proj_Inputs!$C$46-Proj_Inputs!$B$46)*D223</f>
        <v>3.1998800000000022E-2</v>
      </c>
      <c r="K223" s="230">
        <f>Proj_Inputs!$B$47+(Proj_Inputs!$C$47-Proj_Inputs!$B$47)*E223</f>
        <v>1.6937999999999995E-2</v>
      </c>
      <c r="L223" s="230">
        <f>Proj_Inputs!$B$46+(Proj_Inputs!$C$46-Proj_Inputs!$B$46)*F223</f>
        <v>-7.9328399999999993E-2</v>
      </c>
      <c r="M223" s="230">
        <f>Proj_Inputs!$B$47+(Proj_Inputs!$C$47-Proj_Inputs!$B$47)*G223</f>
        <v>4.115125E-2</v>
      </c>
      <c r="N223" s="231">
        <f>(1+H223)*(Proj_Inputs!$B$20+J223)/Proj_Inputs!$B$20*((Proj_Inputs!$B$21+I223)*(1-Proj_Inputs!$B$24)*NPV_Pirelli!$B$47+NPV_Pirelli!$B$49)+(1+K223)*NPV_Pirelli!$B$48</f>
        <v>446.00405383565101</v>
      </c>
      <c r="O223" s="231">
        <f>(1+H223)*(Proj_Inputs!$C$20+L223)/Proj_Inputs!$C$20*((Proj_Inputs!$C$21+I223)*(1-Proj_Inputs!$C$24)*NPV_Hankook!$B$47+NPV_Hankook!$B$49)+(1+M223)*NPV_Hankook!$B$48</f>
        <v>-198.47864397172157</v>
      </c>
    </row>
    <row r="224" spans="1:15" x14ac:dyDescent="0.2">
      <c r="A224" s="228">
        <v>200</v>
      </c>
      <c r="B224" s="229">
        <v>0.64038600000000001</v>
      </c>
      <c r="C224" s="229">
        <v>0.56502600000000003</v>
      </c>
      <c r="D224" s="229">
        <v>0.53820800000000002</v>
      </c>
      <c r="E224" s="229">
        <v>0.95438699999999999</v>
      </c>
      <c r="F224" s="229">
        <v>0.67229499999999998</v>
      </c>
      <c r="G224" s="229">
        <v>0.43734099999999998</v>
      </c>
      <c r="H224" s="230">
        <f>Proj_Inputs!$B$44+(Proj_Inputs!$C$44-Proj_Inputs!$B$44)*B224</f>
        <v>2.8077199999999997E-2</v>
      </c>
      <c r="I224" s="230">
        <f>Proj_Inputs!$B$45+(Proj_Inputs!$C$45-Proj_Inputs!$B$45)*C224</f>
        <v>5.2020800000000048E-3</v>
      </c>
      <c r="J224" s="230">
        <f>Proj_Inputs!$B$46+(Proj_Inputs!$C$46-Proj_Inputs!$B$46)*D224</f>
        <v>-4.2358399999999991E-2</v>
      </c>
      <c r="K224" s="230">
        <f>Proj_Inputs!$B$47+(Proj_Inputs!$C$47-Proj_Inputs!$B$47)*E224</f>
        <v>0.18859674999999998</v>
      </c>
      <c r="L224" s="230">
        <f>Proj_Inputs!$B$46+(Proj_Inputs!$C$46-Proj_Inputs!$B$46)*F224</f>
        <v>-1.5540999999999999E-2</v>
      </c>
      <c r="M224" s="230">
        <f>Proj_Inputs!$B$47+(Proj_Inputs!$C$47-Proj_Inputs!$B$47)*G224</f>
        <v>5.9335249999999992E-2</v>
      </c>
      <c r="N224" s="231">
        <f>(1+H224)*(Proj_Inputs!$B$20+J224)/Proj_Inputs!$B$20*((Proj_Inputs!$B$21+I224)*(1-Proj_Inputs!$B$24)*NPV_Pirelli!$B$47+NPV_Pirelli!$B$49)+(1+K224)*NPV_Pirelli!$B$48</f>
        <v>263.92606333556591</v>
      </c>
      <c r="O224" s="231">
        <f>(1+H224)*(Proj_Inputs!$C$20+L224)/Proj_Inputs!$C$20*((Proj_Inputs!$C$21+I224)*(1-Proj_Inputs!$C$24)*NPV_Hankook!$B$47+NPV_Hankook!$B$49)+(1+M224)*NPV_Hankook!$B$48</f>
        <v>-111.66333251648325</v>
      </c>
    </row>
    <row r="225" spans="1:15" x14ac:dyDescent="0.2">
      <c r="A225" s="228">
        <v>201</v>
      </c>
      <c r="B225" s="229">
        <v>0.89995499999999995</v>
      </c>
      <c r="C225" s="229">
        <v>0.110385</v>
      </c>
      <c r="D225" s="229">
        <v>0.61219599999999996</v>
      </c>
      <c r="E225" s="229">
        <v>0.54858399999999996</v>
      </c>
      <c r="F225" s="229">
        <v>0.86282400000000004</v>
      </c>
      <c r="G225" s="229">
        <v>0.79468399999999995</v>
      </c>
      <c r="H225" s="230">
        <f>Proj_Inputs!$B$44+(Proj_Inputs!$C$44-Proj_Inputs!$B$44)*B225</f>
        <v>7.9991000000000007E-2</v>
      </c>
      <c r="I225" s="230">
        <f>Proj_Inputs!$B$45+(Proj_Inputs!$C$45-Proj_Inputs!$B$45)*C225</f>
        <v>-3.1169200000000001E-2</v>
      </c>
      <c r="J225" s="230">
        <f>Proj_Inputs!$B$46+(Proj_Inputs!$C$46-Proj_Inputs!$B$46)*D225</f>
        <v>-2.7560799999999996E-2</v>
      </c>
      <c r="K225" s="230">
        <f>Proj_Inputs!$B$47+(Proj_Inputs!$C$47-Proj_Inputs!$B$47)*E225</f>
        <v>8.7145999999999987E-2</v>
      </c>
      <c r="L225" s="230">
        <f>Proj_Inputs!$B$46+(Proj_Inputs!$C$46-Proj_Inputs!$B$46)*F225</f>
        <v>2.2564800000000024E-2</v>
      </c>
      <c r="M225" s="230">
        <f>Proj_Inputs!$B$47+(Proj_Inputs!$C$47-Proj_Inputs!$B$47)*G225</f>
        <v>0.148671</v>
      </c>
      <c r="N225" s="231">
        <f>(1+H225)*(Proj_Inputs!$B$20+J225)/Proj_Inputs!$B$20*((Proj_Inputs!$B$21+I225)*(1-Proj_Inputs!$B$24)*NPV_Pirelli!$B$47+NPV_Pirelli!$B$49)+(1+K225)*NPV_Pirelli!$B$48</f>
        <v>190.75958023542091</v>
      </c>
      <c r="O225" s="231">
        <f>(1+H225)*(Proj_Inputs!$C$20+L225)/Proj_Inputs!$C$20*((Proj_Inputs!$C$21+I225)*(1-Proj_Inputs!$C$24)*NPV_Hankook!$B$47+NPV_Hankook!$B$49)+(1+M225)*NPV_Hankook!$B$48</f>
        <v>-384.22480912487538</v>
      </c>
    </row>
    <row r="226" spans="1:15" x14ac:dyDescent="0.2">
      <c r="A226" s="228">
        <v>202</v>
      </c>
      <c r="B226" s="229">
        <v>0.36338399999999998</v>
      </c>
      <c r="C226" s="229">
        <v>0.45935199999999998</v>
      </c>
      <c r="D226" s="229">
        <v>0.644787</v>
      </c>
      <c r="E226" s="229">
        <v>0.54290799999999995</v>
      </c>
      <c r="F226" s="229">
        <v>0.97222399999999998</v>
      </c>
      <c r="G226" s="229">
        <v>0.85125899999999999</v>
      </c>
      <c r="H226" s="230">
        <f>Proj_Inputs!$B$44+(Proj_Inputs!$C$44-Proj_Inputs!$B$44)*B226</f>
        <v>-2.7323200000000006E-2</v>
      </c>
      <c r="I226" s="230">
        <f>Proj_Inputs!$B$45+(Proj_Inputs!$C$45-Proj_Inputs!$B$45)*C226</f>
        <v>-3.2518399999999989E-3</v>
      </c>
      <c r="J226" s="230">
        <f>Proj_Inputs!$B$46+(Proj_Inputs!$C$46-Proj_Inputs!$B$46)*D226</f>
        <v>-2.1042599999999995E-2</v>
      </c>
      <c r="K226" s="230">
        <f>Proj_Inputs!$B$47+(Proj_Inputs!$C$47-Proj_Inputs!$B$47)*E226</f>
        <v>8.5726999999999984E-2</v>
      </c>
      <c r="L226" s="230">
        <f>Proj_Inputs!$B$46+(Proj_Inputs!$C$46-Proj_Inputs!$B$46)*F226</f>
        <v>4.4444800000000007E-2</v>
      </c>
      <c r="M226" s="230">
        <f>Proj_Inputs!$B$47+(Proj_Inputs!$C$47-Proj_Inputs!$B$47)*G226</f>
        <v>0.16281475000000001</v>
      </c>
      <c r="N226" s="231">
        <f>(1+H226)*(Proj_Inputs!$B$20+J226)/Proj_Inputs!$B$20*((Proj_Inputs!$B$21+I226)*(1-Proj_Inputs!$B$24)*NPV_Pirelli!$B$47+NPV_Pirelli!$B$49)+(1+K226)*NPV_Pirelli!$B$48</f>
        <v>258.86781996936782</v>
      </c>
      <c r="O226" s="231">
        <f>(1+H226)*(Proj_Inputs!$C$20+L226)/Proj_Inputs!$C$20*((Proj_Inputs!$C$21+I226)*(1-Proj_Inputs!$C$24)*NPV_Hankook!$B$47+NPV_Hankook!$B$49)+(1+M226)*NPV_Hankook!$B$48</f>
        <v>-279.65753064247519</v>
      </c>
    </row>
    <row r="227" spans="1:15" x14ac:dyDescent="0.2">
      <c r="A227" s="228">
        <v>203</v>
      </c>
      <c r="B227" s="229">
        <v>0.444185</v>
      </c>
      <c r="C227" s="229">
        <v>0.81798599999999999</v>
      </c>
      <c r="D227" s="229">
        <v>0.71349200000000002</v>
      </c>
      <c r="E227" s="229">
        <v>0.98777300000000001</v>
      </c>
      <c r="F227" s="229">
        <v>0.100162</v>
      </c>
      <c r="G227" s="229">
        <v>0.14157</v>
      </c>
      <c r="H227" s="230">
        <f>Proj_Inputs!$B$44+(Proj_Inputs!$C$44-Proj_Inputs!$B$44)*B227</f>
        <v>-1.1163000000000006E-2</v>
      </c>
      <c r="I227" s="230">
        <f>Proj_Inputs!$B$45+(Proj_Inputs!$C$45-Proj_Inputs!$B$45)*C227</f>
        <v>2.5438880000000004E-2</v>
      </c>
      <c r="J227" s="230">
        <f>Proj_Inputs!$B$46+(Proj_Inputs!$C$46-Proj_Inputs!$B$46)*D227</f>
        <v>-7.3015999999999914E-3</v>
      </c>
      <c r="K227" s="230">
        <f>Proj_Inputs!$B$47+(Proj_Inputs!$C$47-Proj_Inputs!$B$47)*E227</f>
        <v>0.19694325000000001</v>
      </c>
      <c r="L227" s="230">
        <f>Proj_Inputs!$B$46+(Proj_Inputs!$C$46-Proj_Inputs!$B$46)*F227</f>
        <v>-0.12996759999999999</v>
      </c>
      <c r="M227" s="230">
        <f>Proj_Inputs!$B$47+(Proj_Inputs!$C$47-Proj_Inputs!$B$47)*G227</f>
        <v>-1.4607500000000002E-2</v>
      </c>
      <c r="N227" s="231">
        <f>(1+H227)*(Proj_Inputs!$B$20+J227)/Proj_Inputs!$B$20*((Proj_Inputs!$B$21+I227)*(1-Proj_Inputs!$B$24)*NPV_Pirelli!$B$47+NPV_Pirelli!$B$49)+(1+K227)*NPV_Pirelli!$B$48</f>
        <v>381.51045639421761</v>
      </c>
      <c r="O227" s="231">
        <f>(1+H227)*(Proj_Inputs!$C$20+L227)/Proj_Inputs!$C$20*((Proj_Inputs!$C$21+I227)*(1-Proj_Inputs!$C$24)*NPV_Hankook!$B$47+NPV_Hankook!$B$49)+(1+M227)*NPV_Hankook!$B$48</f>
        <v>-90.53748536332705</v>
      </c>
    </row>
    <row r="228" spans="1:15" x14ac:dyDescent="0.2">
      <c r="A228" s="228">
        <v>204</v>
      </c>
      <c r="B228" s="229">
        <v>0.75852699999999995</v>
      </c>
      <c r="C228" s="229">
        <v>0.532559</v>
      </c>
      <c r="D228" s="229">
        <v>0.74459500000000001</v>
      </c>
      <c r="E228" s="229">
        <v>0.49409500000000001</v>
      </c>
      <c r="F228" s="229">
        <v>0.90083899999999995</v>
      </c>
      <c r="G228" s="229">
        <v>0.96446699999999996</v>
      </c>
      <c r="H228" s="230">
        <f>Proj_Inputs!$B$44+(Proj_Inputs!$C$44-Proj_Inputs!$B$44)*B228</f>
        <v>5.1705399999999985E-2</v>
      </c>
      <c r="I228" s="230">
        <f>Proj_Inputs!$B$45+(Proj_Inputs!$C$45-Proj_Inputs!$B$45)*C228</f>
        <v>2.6047199999999979E-3</v>
      </c>
      <c r="J228" s="230">
        <f>Proj_Inputs!$B$46+(Proj_Inputs!$C$46-Proj_Inputs!$B$46)*D228</f>
        <v>-1.0809999999999986E-3</v>
      </c>
      <c r="K228" s="230">
        <f>Proj_Inputs!$B$47+(Proj_Inputs!$C$47-Proj_Inputs!$B$47)*E228</f>
        <v>7.3523749999999999E-2</v>
      </c>
      <c r="L228" s="230">
        <f>Proj_Inputs!$B$46+(Proj_Inputs!$C$46-Proj_Inputs!$B$46)*F228</f>
        <v>3.0167799999999995E-2</v>
      </c>
      <c r="M228" s="230">
        <f>Proj_Inputs!$B$47+(Proj_Inputs!$C$47-Proj_Inputs!$B$47)*G228</f>
        <v>0.19111675</v>
      </c>
      <c r="N228" s="231">
        <f>(1+H228)*(Proj_Inputs!$B$20+J228)/Proj_Inputs!$B$20*((Proj_Inputs!$B$21+I228)*(1-Proj_Inputs!$B$24)*NPV_Pirelli!$B$47+NPV_Pirelli!$B$49)+(1+K228)*NPV_Pirelli!$B$48</f>
        <v>424.49606825290687</v>
      </c>
      <c r="O228" s="231">
        <f>(1+H228)*(Proj_Inputs!$C$20+L228)/Proj_Inputs!$C$20*((Proj_Inputs!$C$21+I228)*(1-Proj_Inputs!$C$24)*NPV_Hankook!$B$47+NPV_Hankook!$B$49)+(1+M228)*NPV_Hankook!$B$48</f>
        <v>-199.31030623846004</v>
      </c>
    </row>
    <row r="229" spans="1:15" x14ac:dyDescent="0.2">
      <c r="A229" s="228">
        <v>205</v>
      </c>
      <c r="B229" s="229">
        <v>0.99373199999999995</v>
      </c>
      <c r="C229" s="229">
        <v>0.38847100000000001</v>
      </c>
      <c r="D229" s="229">
        <v>0.92791400000000002</v>
      </c>
      <c r="E229" s="229">
        <v>0.165883</v>
      </c>
      <c r="F229" s="229">
        <v>0.37047600000000003</v>
      </c>
      <c r="G229" s="229">
        <v>3.839E-3</v>
      </c>
      <c r="H229" s="230">
        <f>Proj_Inputs!$B$44+(Proj_Inputs!$C$44-Proj_Inputs!$B$44)*B229</f>
        <v>9.8746399999999984E-2</v>
      </c>
      <c r="I229" s="230">
        <f>Proj_Inputs!$B$45+(Proj_Inputs!$C$45-Proj_Inputs!$B$45)*C229</f>
        <v>-8.9223200000000009E-3</v>
      </c>
      <c r="J229" s="230">
        <f>Proj_Inputs!$B$46+(Proj_Inputs!$C$46-Proj_Inputs!$B$46)*D229</f>
        <v>3.5582800000000026E-2</v>
      </c>
      <c r="K229" s="230">
        <f>Proj_Inputs!$B$47+(Proj_Inputs!$C$47-Proj_Inputs!$B$47)*E229</f>
        <v>-8.5292500000000021E-3</v>
      </c>
      <c r="L229" s="230">
        <f>Proj_Inputs!$B$46+(Proj_Inputs!$C$46-Proj_Inputs!$B$46)*F229</f>
        <v>-7.5904799999999981E-2</v>
      </c>
      <c r="M229" s="230">
        <f>Proj_Inputs!$B$47+(Proj_Inputs!$C$47-Proj_Inputs!$B$47)*G229</f>
        <v>-4.9040250000000001E-2</v>
      </c>
      <c r="N229" s="231">
        <f>(1+H229)*(Proj_Inputs!$B$20+J229)/Proj_Inputs!$B$20*((Proj_Inputs!$B$21+I229)*(1-Proj_Inputs!$B$24)*NPV_Pirelli!$B$47+NPV_Pirelli!$B$49)+(1+K229)*NPV_Pirelli!$B$48</f>
        <v>518.72622687564592</v>
      </c>
      <c r="O229" s="231">
        <f>(1+H229)*(Proj_Inputs!$C$20+L229)/Proj_Inputs!$C$20*((Proj_Inputs!$C$21+I229)*(1-Proj_Inputs!$C$24)*NPV_Hankook!$B$47+NPV_Hankook!$B$49)+(1+M229)*NPV_Hankook!$B$48</f>
        <v>-87.683446669147884</v>
      </c>
    </row>
    <row r="230" spans="1:15" x14ac:dyDescent="0.2">
      <c r="A230" s="228">
        <v>206</v>
      </c>
      <c r="B230" s="229">
        <v>0.61650700000000003</v>
      </c>
      <c r="C230" s="229">
        <v>0.48364800000000002</v>
      </c>
      <c r="D230" s="229">
        <v>0.150778</v>
      </c>
      <c r="E230" s="229">
        <v>0.16442300000000001</v>
      </c>
      <c r="F230" s="229">
        <v>0.95880699999999996</v>
      </c>
      <c r="G230" s="229">
        <v>0.213947</v>
      </c>
      <c r="H230" s="230">
        <f>Proj_Inputs!$B$44+(Proj_Inputs!$C$44-Proj_Inputs!$B$44)*B230</f>
        <v>2.33014E-2</v>
      </c>
      <c r="I230" s="230">
        <f>Proj_Inputs!$B$45+(Proj_Inputs!$C$45-Proj_Inputs!$B$45)*C230</f>
        <v>-1.3081599999999957E-3</v>
      </c>
      <c r="J230" s="230">
        <f>Proj_Inputs!$B$46+(Proj_Inputs!$C$46-Proj_Inputs!$B$46)*D230</f>
        <v>-0.11984439999999999</v>
      </c>
      <c r="K230" s="230">
        <f>Proj_Inputs!$B$47+(Proj_Inputs!$C$47-Proj_Inputs!$B$47)*E230</f>
        <v>-8.8942499999999994E-3</v>
      </c>
      <c r="L230" s="230">
        <f>Proj_Inputs!$B$46+(Proj_Inputs!$C$46-Proj_Inputs!$B$46)*F230</f>
        <v>4.1761400000000004E-2</v>
      </c>
      <c r="M230" s="230">
        <f>Proj_Inputs!$B$47+(Proj_Inputs!$C$47-Proj_Inputs!$B$47)*G230</f>
        <v>3.4867499999999968E-3</v>
      </c>
      <c r="N230" s="231">
        <f>(1+H230)*(Proj_Inputs!$B$20+J230)/Proj_Inputs!$B$20*((Proj_Inputs!$B$21+I230)*(1-Proj_Inputs!$B$24)*NPV_Pirelli!$B$47+NPV_Pirelli!$B$49)+(1+K230)*NPV_Pirelli!$B$48</f>
        <v>270.31527984901891</v>
      </c>
      <c r="O230" s="231">
        <f>(1+H230)*(Proj_Inputs!$C$20+L230)/Proj_Inputs!$C$20*((Proj_Inputs!$C$21+I230)*(1-Proj_Inputs!$C$24)*NPV_Hankook!$B$47+NPV_Hankook!$B$49)+(1+M230)*NPV_Hankook!$B$48</f>
        <v>-27.405503482592167</v>
      </c>
    </row>
    <row r="231" spans="1:15" x14ac:dyDescent="0.2">
      <c r="A231" s="228">
        <v>207</v>
      </c>
      <c r="B231" s="229">
        <v>0.82617399999999996</v>
      </c>
      <c r="C231" s="229">
        <v>0.69750599999999996</v>
      </c>
      <c r="D231" s="229">
        <v>1.1217E-2</v>
      </c>
      <c r="E231" s="229">
        <v>0.91519200000000001</v>
      </c>
      <c r="F231" s="229">
        <v>0.474553</v>
      </c>
      <c r="G231" s="229">
        <v>0.27099499999999999</v>
      </c>
      <c r="H231" s="230">
        <f>Proj_Inputs!$B$44+(Proj_Inputs!$C$44-Proj_Inputs!$B$44)*B231</f>
        <v>6.5234800000000009E-2</v>
      </c>
      <c r="I231" s="230">
        <f>Proj_Inputs!$B$45+(Proj_Inputs!$C$45-Proj_Inputs!$B$45)*C231</f>
        <v>1.5800479999999999E-2</v>
      </c>
      <c r="J231" s="230">
        <f>Proj_Inputs!$B$46+(Proj_Inputs!$C$46-Proj_Inputs!$B$46)*D231</f>
        <v>-0.14775659999999999</v>
      </c>
      <c r="K231" s="230">
        <f>Proj_Inputs!$B$47+(Proj_Inputs!$C$47-Proj_Inputs!$B$47)*E231</f>
        <v>0.17879800000000001</v>
      </c>
      <c r="L231" s="230">
        <f>Proj_Inputs!$B$46+(Proj_Inputs!$C$46-Proj_Inputs!$B$46)*F231</f>
        <v>-5.5089399999999983E-2</v>
      </c>
      <c r="M231" s="230">
        <f>Proj_Inputs!$B$47+(Proj_Inputs!$C$47-Proj_Inputs!$B$47)*G231</f>
        <v>1.7748749999999994E-2</v>
      </c>
      <c r="N231" s="231">
        <f>(1+H231)*(Proj_Inputs!$B$20+J231)/Proj_Inputs!$B$20*((Proj_Inputs!$B$21+I231)*(1-Proj_Inputs!$B$24)*NPV_Pirelli!$B$47+NPV_Pirelli!$B$49)+(1+K231)*NPV_Pirelli!$B$48</f>
        <v>220.50810649735342</v>
      </c>
      <c r="O231" s="231">
        <f>(1+H231)*(Proj_Inputs!$C$20+L231)/Proj_Inputs!$C$20*((Proj_Inputs!$C$21+I231)*(1-Proj_Inputs!$C$24)*NPV_Hankook!$B$47+NPV_Hankook!$B$49)+(1+M231)*NPV_Hankook!$B$48</f>
        <v>-2.0679700179664451</v>
      </c>
    </row>
    <row r="232" spans="1:15" x14ac:dyDescent="0.2">
      <c r="A232" s="228">
        <v>208</v>
      </c>
      <c r="B232" s="229">
        <v>0.74571699999999996</v>
      </c>
      <c r="C232" s="229">
        <v>7.8863000000000003E-2</v>
      </c>
      <c r="D232" s="229">
        <v>0.70774099999999995</v>
      </c>
      <c r="E232" s="229">
        <v>0.37554900000000002</v>
      </c>
      <c r="F232" s="229">
        <v>0.81838</v>
      </c>
      <c r="G232" s="229">
        <v>0.53785700000000003</v>
      </c>
      <c r="H232" s="230">
        <f>Proj_Inputs!$B$44+(Proj_Inputs!$C$44-Proj_Inputs!$B$44)*B232</f>
        <v>4.9143400000000004E-2</v>
      </c>
      <c r="I232" s="230">
        <f>Proj_Inputs!$B$45+(Proj_Inputs!$C$45-Proj_Inputs!$B$45)*C232</f>
        <v>-3.3690959999999999E-2</v>
      </c>
      <c r="J232" s="230">
        <f>Proj_Inputs!$B$46+(Proj_Inputs!$C$46-Proj_Inputs!$B$46)*D232</f>
        <v>-8.4518000000000093E-3</v>
      </c>
      <c r="K232" s="230">
        <f>Proj_Inputs!$B$47+(Proj_Inputs!$C$47-Proj_Inputs!$B$47)*E232</f>
        <v>4.3887250000000003E-2</v>
      </c>
      <c r="L232" s="230">
        <f>Proj_Inputs!$B$46+(Proj_Inputs!$C$46-Proj_Inputs!$B$46)*F232</f>
        <v>1.3676000000000021E-2</v>
      </c>
      <c r="M232" s="230">
        <f>Proj_Inputs!$B$47+(Proj_Inputs!$C$47-Proj_Inputs!$B$47)*G232</f>
        <v>8.4464250000000005E-2</v>
      </c>
      <c r="N232" s="231">
        <f>(1+H232)*(Proj_Inputs!$B$20+J232)/Proj_Inputs!$B$20*((Proj_Inputs!$B$21+I232)*(1-Proj_Inputs!$B$24)*NPV_Pirelli!$B$47+NPV_Pirelli!$B$49)+(1+K232)*NPV_Pirelli!$B$48</f>
        <v>201.01575939538634</v>
      </c>
      <c r="O232" s="231">
        <f>(1+H232)*(Proj_Inputs!$C$20+L232)/Proj_Inputs!$C$20*((Proj_Inputs!$C$21+I232)*(1-Proj_Inputs!$C$24)*NPV_Hankook!$B$47+NPV_Hankook!$B$49)+(1+M232)*NPV_Hankook!$B$48</f>
        <v>-364.0429758467252</v>
      </c>
    </row>
    <row r="233" spans="1:15" x14ac:dyDescent="0.2">
      <c r="A233" s="228">
        <v>209</v>
      </c>
      <c r="B233" s="229">
        <v>0.884552</v>
      </c>
      <c r="C233" s="229">
        <v>0.88251299999999999</v>
      </c>
      <c r="D233" s="229">
        <v>9.6158999999999994E-2</v>
      </c>
      <c r="E233" s="229">
        <v>0.50484200000000001</v>
      </c>
      <c r="F233" s="229">
        <v>0.35107899999999997</v>
      </c>
      <c r="G233" s="229">
        <v>0.137049</v>
      </c>
      <c r="H233" s="230">
        <f>Proj_Inputs!$B$44+(Proj_Inputs!$C$44-Proj_Inputs!$B$44)*B233</f>
        <v>7.6910400000000018E-2</v>
      </c>
      <c r="I233" s="230">
        <f>Proj_Inputs!$B$45+(Proj_Inputs!$C$45-Proj_Inputs!$B$45)*C233</f>
        <v>3.0601040000000003E-2</v>
      </c>
      <c r="J233" s="230">
        <f>Proj_Inputs!$B$46+(Proj_Inputs!$C$46-Proj_Inputs!$B$46)*D233</f>
        <v>-0.1307682</v>
      </c>
      <c r="K233" s="230">
        <f>Proj_Inputs!$B$47+(Proj_Inputs!$C$47-Proj_Inputs!$B$47)*E233</f>
        <v>7.62105E-2</v>
      </c>
      <c r="L233" s="230">
        <f>Proj_Inputs!$B$46+(Proj_Inputs!$C$46-Proj_Inputs!$B$46)*F233</f>
        <v>-7.97842E-2</v>
      </c>
      <c r="M233" s="230">
        <f>Proj_Inputs!$B$47+(Proj_Inputs!$C$47-Proj_Inputs!$B$47)*G233</f>
        <v>-1.5737750000000002E-2</v>
      </c>
      <c r="N233" s="231">
        <f>(1+H233)*(Proj_Inputs!$B$20+J233)/Proj_Inputs!$B$20*((Proj_Inputs!$B$21+I233)*(1-Proj_Inputs!$B$24)*NPV_Pirelli!$B$47+NPV_Pirelli!$B$49)+(1+K233)*NPV_Pirelli!$B$48</f>
        <v>424.51129820118035</v>
      </c>
      <c r="O233" s="231">
        <f>(1+H233)*(Proj_Inputs!$C$20+L233)/Proj_Inputs!$C$20*((Proj_Inputs!$C$21+I233)*(1-Proj_Inputs!$C$24)*NPV_Hankook!$B$47+NPV_Hankook!$B$49)+(1+M233)*NPV_Hankook!$B$48</f>
        <v>114.4674511584642</v>
      </c>
    </row>
    <row r="234" spans="1:15" x14ac:dyDescent="0.2">
      <c r="A234" s="228">
        <v>210</v>
      </c>
      <c r="B234" s="229">
        <v>0.58266499999999999</v>
      </c>
      <c r="C234" s="229">
        <v>0.59131100000000003</v>
      </c>
      <c r="D234" s="229">
        <v>0.54352400000000001</v>
      </c>
      <c r="E234" s="229">
        <v>0.56824200000000002</v>
      </c>
      <c r="F234" s="229">
        <v>0.63600999999999996</v>
      </c>
      <c r="G234" s="229">
        <v>0.20778199999999999</v>
      </c>
      <c r="H234" s="230">
        <f>Proj_Inputs!$B$44+(Proj_Inputs!$C$44-Proj_Inputs!$B$44)*B234</f>
        <v>1.6532999999999992E-2</v>
      </c>
      <c r="I234" s="230">
        <f>Proj_Inputs!$B$45+(Proj_Inputs!$C$45-Proj_Inputs!$B$45)*C234</f>
        <v>7.3048799999999997E-3</v>
      </c>
      <c r="J234" s="230">
        <f>Proj_Inputs!$B$46+(Proj_Inputs!$C$46-Proj_Inputs!$B$46)*D234</f>
        <v>-4.129519999999999E-2</v>
      </c>
      <c r="K234" s="230">
        <f>Proj_Inputs!$B$47+(Proj_Inputs!$C$47-Proj_Inputs!$B$47)*E234</f>
        <v>9.2060500000000003E-2</v>
      </c>
      <c r="L234" s="230">
        <f>Proj_Inputs!$B$46+(Proj_Inputs!$C$46-Proj_Inputs!$B$46)*F234</f>
        <v>-2.2797999999999985E-2</v>
      </c>
      <c r="M234" s="230">
        <f>Proj_Inputs!$B$47+(Proj_Inputs!$C$47-Proj_Inputs!$B$47)*G234</f>
        <v>1.9454999999999958E-3</v>
      </c>
      <c r="N234" s="231">
        <f>(1+H234)*(Proj_Inputs!$B$20+J234)/Proj_Inputs!$B$20*((Proj_Inputs!$B$21+I234)*(1-Proj_Inputs!$B$24)*NPV_Pirelli!$B$47+NPV_Pirelli!$B$49)+(1+K234)*NPV_Pirelli!$B$48</f>
        <v>340.63358289521796</v>
      </c>
      <c r="O234" s="231">
        <f>(1+H234)*(Proj_Inputs!$C$20+L234)/Proj_Inputs!$C$20*((Proj_Inputs!$C$21+I234)*(1-Proj_Inputs!$C$24)*NPV_Hankook!$B$47+NPV_Hankook!$B$49)+(1+M234)*NPV_Hankook!$B$48</f>
        <v>-52.299151048687008</v>
      </c>
    </row>
    <row r="235" spans="1:15" x14ac:dyDescent="0.2">
      <c r="A235" s="228">
        <v>211</v>
      </c>
      <c r="B235" s="229">
        <v>4.7801999999999997E-2</v>
      </c>
      <c r="C235" s="229">
        <v>0.45273400000000003</v>
      </c>
      <c r="D235" s="229">
        <v>0.11069900000000001</v>
      </c>
      <c r="E235" s="229">
        <v>0.86769200000000002</v>
      </c>
      <c r="F235" s="229">
        <v>0.990452</v>
      </c>
      <c r="G235" s="229">
        <v>0.91212599999999999</v>
      </c>
      <c r="H235" s="230">
        <f>Proj_Inputs!$B$44+(Proj_Inputs!$C$44-Proj_Inputs!$B$44)*B235</f>
        <v>-9.0439600000000009E-2</v>
      </c>
      <c r="I235" s="230">
        <f>Proj_Inputs!$B$45+(Proj_Inputs!$C$45-Proj_Inputs!$B$45)*C235</f>
        <v>-3.781279999999998E-3</v>
      </c>
      <c r="J235" s="230">
        <f>Proj_Inputs!$B$46+(Proj_Inputs!$C$46-Proj_Inputs!$B$46)*D235</f>
        <v>-0.12786019999999998</v>
      </c>
      <c r="K235" s="230">
        <f>Proj_Inputs!$B$47+(Proj_Inputs!$C$47-Proj_Inputs!$B$47)*E235</f>
        <v>0.16692299999999999</v>
      </c>
      <c r="L235" s="230">
        <f>Proj_Inputs!$B$46+(Proj_Inputs!$C$46-Proj_Inputs!$B$46)*F235</f>
        <v>4.8090400000000005E-2</v>
      </c>
      <c r="M235" s="230">
        <f>Proj_Inputs!$B$47+(Proj_Inputs!$C$47-Proj_Inputs!$B$47)*G235</f>
        <v>0.17803150000000001</v>
      </c>
      <c r="N235" s="231">
        <f>(1+H235)*(Proj_Inputs!$B$20+J235)/Proj_Inputs!$B$20*((Proj_Inputs!$B$21+I235)*(1-Proj_Inputs!$B$24)*NPV_Pirelli!$B$47+NPV_Pirelli!$B$49)+(1+K235)*NPV_Pirelli!$B$48</f>
        <v>-6.7251573297867253</v>
      </c>
      <c r="O235" s="231">
        <f>(1+H235)*(Proj_Inputs!$C$20+L235)/Proj_Inputs!$C$20*((Proj_Inputs!$C$21+I235)*(1-Proj_Inputs!$C$24)*NPV_Hankook!$B$47+NPV_Hankook!$B$49)+(1+M235)*NPV_Hankook!$B$48</f>
        <v>-366.59232899137294</v>
      </c>
    </row>
    <row r="236" spans="1:15" x14ac:dyDescent="0.2">
      <c r="A236" s="228">
        <v>212</v>
      </c>
      <c r="B236" s="229">
        <v>0.68783700000000003</v>
      </c>
      <c r="C236" s="229">
        <v>0.53993899999999995</v>
      </c>
      <c r="D236" s="229">
        <v>0.85758900000000005</v>
      </c>
      <c r="E236" s="229">
        <v>0.51605299999999998</v>
      </c>
      <c r="F236" s="229">
        <v>0.16094900000000001</v>
      </c>
      <c r="G236" s="229">
        <v>0.27113300000000001</v>
      </c>
      <c r="H236" s="230">
        <f>Proj_Inputs!$B$44+(Proj_Inputs!$C$44-Proj_Inputs!$B$44)*B236</f>
        <v>3.7567400000000001E-2</v>
      </c>
      <c r="I236" s="230">
        <f>Proj_Inputs!$B$45+(Proj_Inputs!$C$45-Proj_Inputs!$B$45)*C236</f>
        <v>3.1951199999999957E-3</v>
      </c>
      <c r="J236" s="230">
        <f>Proj_Inputs!$B$46+(Proj_Inputs!$C$46-Proj_Inputs!$B$46)*D236</f>
        <v>2.1517800000000031E-2</v>
      </c>
      <c r="K236" s="230">
        <f>Proj_Inputs!$B$47+(Proj_Inputs!$C$47-Proj_Inputs!$B$47)*E236</f>
        <v>7.9013249999999993E-2</v>
      </c>
      <c r="L236" s="230">
        <f>Proj_Inputs!$B$46+(Proj_Inputs!$C$46-Proj_Inputs!$B$46)*F236</f>
        <v>-0.11781019999999999</v>
      </c>
      <c r="M236" s="230">
        <f>Proj_Inputs!$B$47+(Proj_Inputs!$C$47-Proj_Inputs!$B$47)*G236</f>
        <v>1.778325E-2</v>
      </c>
      <c r="N236" s="231">
        <f>(1+H236)*(Proj_Inputs!$B$20+J236)/Proj_Inputs!$B$20*((Proj_Inputs!$B$21+I236)*(1-Proj_Inputs!$B$24)*NPV_Pirelli!$B$47+NPV_Pirelli!$B$49)+(1+K236)*NPV_Pirelli!$B$48</f>
        <v>438.48377407852354</v>
      </c>
      <c r="O236" s="231">
        <f>(1+H236)*(Proj_Inputs!$C$20+L236)/Proj_Inputs!$C$20*((Proj_Inputs!$C$21+I236)*(1-Proj_Inputs!$C$24)*NPV_Hankook!$B$47+NPV_Hankook!$B$49)+(1+M236)*NPV_Hankook!$B$48</f>
        <v>-196.16150438918191</v>
      </c>
    </row>
    <row r="237" spans="1:15" x14ac:dyDescent="0.2">
      <c r="A237" s="228">
        <v>213</v>
      </c>
      <c r="B237" s="229">
        <v>0.430205</v>
      </c>
      <c r="C237" s="229">
        <v>0.28232099999999999</v>
      </c>
      <c r="D237" s="229">
        <v>0.35744500000000001</v>
      </c>
      <c r="E237" s="229">
        <v>0.78999699999999995</v>
      </c>
      <c r="F237" s="229">
        <v>8.7069999999999995E-3</v>
      </c>
      <c r="G237" s="229">
        <v>7.3485999999999996E-2</v>
      </c>
      <c r="H237" s="230">
        <f>Proj_Inputs!$B$44+(Proj_Inputs!$C$44-Proj_Inputs!$B$44)*B237</f>
        <v>-1.3958999999999999E-2</v>
      </c>
      <c r="I237" s="230">
        <f>Proj_Inputs!$B$45+(Proj_Inputs!$C$45-Proj_Inputs!$B$45)*C237</f>
        <v>-1.741432E-2</v>
      </c>
      <c r="J237" s="230">
        <f>Proj_Inputs!$B$46+(Proj_Inputs!$C$46-Proj_Inputs!$B$46)*D237</f>
        <v>-7.8510999999999984E-2</v>
      </c>
      <c r="K237" s="230">
        <f>Proj_Inputs!$B$47+(Proj_Inputs!$C$47-Proj_Inputs!$B$47)*E237</f>
        <v>0.14749924999999997</v>
      </c>
      <c r="L237" s="230">
        <f>Proj_Inputs!$B$46+(Proj_Inputs!$C$46-Proj_Inputs!$B$46)*F237</f>
        <v>-0.14825859999999999</v>
      </c>
      <c r="M237" s="230">
        <f>Proj_Inputs!$B$47+(Proj_Inputs!$C$47-Proj_Inputs!$B$47)*G237</f>
        <v>-3.1628500000000004E-2</v>
      </c>
      <c r="N237" s="231">
        <f>(1+H237)*(Proj_Inputs!$B$20+J237)/Proj_Inputs!$B$20*((Proj_Inputs!$B$21+I237)*(1-Proj_Inputs!$B$24)*NPV_Pirelli!$B$47+NPV_Pirelli!$B$49)+(1+K237)*NPV_Pirelli!$B$48</f>
        <v>72.744242265264006</v>
      </c>
      <c r="O237" s="231">
        <f>(1+H237)*(Proj_Inputs!$C$20+L237)/Proj_Inputs!$C$20*((Proj_Inputs!$C$21+I237)*(1-Proj_Inputs!$C$24)*NPV_Hankook!$B$47+NPV_Hankook!$B$49)+(1+M237)*NPV_Hankook!$B$48</f>
        <v>-340.60747933503876</v>
      </c>
    </row>
    <row r="238" spans="1:15" x14ac:dyDescent="0.2">
      <c r="A238" s="228">
        <v>214</v>
      </c>
      <c r="B238" s="229">
        <v>0.66347199999999995</v>
      </c>
      <c r="C238" s="229">
        <v>0.70979000000000003</v>
      </c>
      <c r="D238" s="229">
        <v>0.186475</v>
      </c>
      <c r="E238" s="229">
        <v>0.56191199999999997</v>
      </c>
      <c r="F238" s="229">
        <v>0.73301099999999997</v>
      </c>
      <c r="G238" s="229">
        <v>0.75566500000000003</v>
      </c>
      <c r="H238" s="230">
        <f>Proj_Inputs!$B$44+(Proj_Inputs!$C$44-Proj_Inputs!$B$44)*B238</f>
        <v>3.2694399999999985E-2</v>
      </c>
      <c r="I238" s="230">
        <f>Proj_Inputs!$B$45+(Proj_Inputs!$C$45-Proj_Inputs!$B$45)*C238</f>
        <v>1.6783200000000005E-2</v>
      </c>
      <c r="J238" s="230">
        <f>Proj_Inputs!$B$46+(Proj_Inputs!$C$46-Proj_Inputs!$B$46)*D238</f>
        <v>-0.112705</v>
      </c>
      <c r="K238" s="230">
        <f>Proj_Inputs!$B$47+(Proj_Inputs!$C$47-Proj_Inputs!$B$47)*E238</f>
        <v>9.0477999999999989E-2</v>
      </c>
      <c r="L238" s="230">
        <f>Proj_Inputs!$B$46+(Proj_Inputs!$C$46-Proj_Inputs!$B$46)*F238</f>
        <v>-3.3978000000000064E-3</v>
      </c>
      <c r="M238" s="230">
        <f>Proj_Inputs!$B$47+(Proj_Inputs!$C$47-Proj_Inputs!$B$47)*G238</f>
        <v>0.13891625000000002</v>
      </c>
      <c r="N238" s="231">
        <f>(1+H238)*(Proj_Inputs!$B$20+J238)/Proj_Inputs!$B$20*((Proj_Inputs!$B$21+I238)*(1-Proj_Inputs!$B$24)*NPV_Pirelli!$B$47+NPV_Pirelli!$B$49)+(1+K238)*NPV_Pirelli!$B$48</f>
        <v>312.44299744498312</v>
      </c>
      <c r="O238" s="231">
        <f>(1+H238)*(Proj_Inputs!$C$20+L238)/Proj_Inputs!$C$20*((Proj_Inputs!$C$21+I238)*(1-Proj_Inputs!$C$24)*NPV_Hankook!$B$47+NPV_Hankook!$B$49)+(1+M238)*NPV_Hankook!$B$48</f>
        <v>-102.09919859985052</v>
      </c>
    </row>
    <row r="239" spans="1:15" x14ac:dyDescent="0.2">
      <c r="A239" s="228">
        <v>215</v>
      </c>
      <c r="B239" s="229">
        <v>0.41842400000000002</v>
      </c>
      <c r="C239" s="229">
        <v>0.16761999999999999</v>
      </c>
      <c r="D239" s="229">
        <v>0.99255400000000005</v>
      </c>
      <c r="E239" s="229">
        <v>0.42431200000000002</v>
      </c>
      <c r="F239" s="229">
        <v>0.65152500000000002</v>
      </c>
      <c r="G239" s="229">
        <v>0.12917799999999999</v>
      </c>
      <c r="H239" s="230">
        <f>Proj_Inputs!$B$44+(Proj_Inputs!$C$44-Proj_Inputs!$B$44)*B239</f>
        <v>-1.6315200000000002E-2</v>
      </c>
      <c r="I239" s="230">
        <f>Proj_Inputs!$B$45+(Proj_Inputs!$C$45-Proj_Inputs!$B$45)*C239</f>
        <v>-2.65904E-2</v>
      </c>
      <c r="J239" s="230">
        <f>Proj_Inputs!$B$46+(Proj_Inputs!$C$46-Proj_Inputs!$B$46)*D239</f>
        <v>4.8510800000000021E-2</v>
      </c>
      <c r="K239" s="230">
        <f>Proj_Inputs!$B$47+(Proj_Inputs!$C$47-Proj_Inputs!$B$47)*E239</f>
        <v>5.6078000000000003E-2</v>
      </c>
      <c r="L239" s="230">
        <f>Proj_Inputs!$B$46+(Proj_Inputs!$C$46-Proj_Inputs!$B$46)*F239</f>
        <v>-1.969499999999999E-2</v>
      </c>
      <c r="M239" s="230">
        <f>Proj_Inputs!$B$47+(Proj_Inputs!$C$47-Proj_Inputs!$B$47)*G239</f>
        <v>-1.7705500000000006E-2</v>
      </c>
      <c r="N239" s="231">
        <f>(1+H239)*(Proj_Inputs!$B$20+J239)/Proj_Inputs!$B$20*((Proj_Inputs!$B$21+I239)*(1-Proj_Inputs!$B$24)*NPV_Pirelli!$B$47+NPV_Pirelli!$B$49)+(1+K239)*NPV_Pirelli!$B$48</f>
        <v>234.39627395708976</v>
      </c>
      <c r="O239" s="231">
        <f>(1+H239)*(Proj_Inputs!$C$20+L239)/Proj_Inputs!$C$20*((Proj_Inputs!$C$21+I239)*(1-Proj_Inputs!$C$24)*NPV_Hankook!$B$47+NPV_Hankook!$B$49)+(1+M239)*NPV_Hankook!$B$48</f>
        <v>-285.1024917677621</v>
      </c>
    </row>
    <row r="240" spans="1:15" x14ac:dyDescent="0.2">
      <c r="A240" s="228">
        <v>216</v>
      </c>
      <c r="B240" s="229">
        <v>0.98329599999999995</v>
      </c>
      <c r="C240" s="229">
        <v>0.46625299999999997</v>
      </c>
      <c r="D240" s="229">
        <v>0.96605799999999997</v>
      </c>
      <c r="E240" s="229">
        <v>0.94885799999999998</v>
      </c>
      <c r="F240" s="229">
        <v>0.192861</v>
      </c>
      <c r="G240" s="229">
        <v>0.80048799999999998</v>
      </c>
      <c r="H240" s="230">
        <f>Proj_Inputs!$B$44+(Proj_Inputs!$C$44-Proj_Inputs!$B$44)*B240</f>
        <v>9.6659200000000001E-2</v>
      </c>
      <c r="I240" s="230">
        <f>Proj_Inputs!$B$45+(Proj_Inputs!$C$45-Proj_Inputs!$B$45)*C240</f>
        <v>-2.6997600000000024E-3</v>
      </c>
      <c r="J240" s="230">
        <f>Proj_Inputs!$B$46+(Proj_Inputs!$C$46-Proj_Inputs!$B$46)*D240</f>
        <v>4.3211600000000017E-2</v>
      </c>
      <c r="K240" s="230">
        <f>Proj_Inputs!$B$47+(Proj_Inputs!$C$47-Proj_Inputs!$B$47)*E240</f>
        <v>0.18721450000000001</v>
      </c>
      <c r="L240" s="230">
        <f>Proj_Inputs!$B$46+(Proj_Inputs!$C$46-Proj_Inputs!$B$46)*F240</f>
        <v>-0.11142779999999999</v>
      </c>
      <c r="M240" s="230">
        <f>Proj_Inputs!$B$47+(Proj_Inputs!$C$47-Proj_Inputs!$B$47)*G240</f>
        <v>0.15012199999999998</v>
      </c>
      <c r="N240" s="231">
        <f>(1+H240)*(Proj_Inputs!$B$20+J240)/Proj_Inputs!$B$20*((Proj_Inputs!$B$21+I240)*(1-Proj_Inputs!$B$24)*NPV_Pirelli!$B$47+NPV_Pirelli!$B$49)+(1+K240)*NPV_Pirelli!$B$48</f>
        <v>416.76621907436356</v>
      </c>
      <c r="O240" s="231">
        <f>(1+H240)*(Proj_Inputs!$C$20+L240)/Proj_Inputs!$C$20*((Proj_Inputs!$C$21+I240)*(1-Proj_Inputs!$C$24)*NPV_Hankook!$B$47+NPV_Hankook!$B$49)+(1+M240)*NPV_Hankook!$B$48</f>
        <v>-324.15175739556003</v>
      </c>
    </row>
    <row r="241" spans="1:15" x14ac:dyDescent="0.2">
      <c r="A241" s="228">
        <v>217</v>
      </c>
      <c r="B241" s="229">
        <v>0.29435800000000001</v>
      </c>
      <c r="C241" s="229">
        <v>0.52996699999999997</v>
      </c>
      <c r="D241" s="229">
        <v>0.71242499999999997</v>
      </c>
      <c r="E241" s="229">
        <v>0.984398</v>
      </c>
      <c r="F241" s="229">
        <v>0.73336699999999999</v>
      </c>
      <c r="G241" s="229">
        <v>0.33965800000000002</v>
      </c>
      <c r="H241" s="230">
        <f>Proj_Inputs!$B$44+(Proj_Inputs!$C$44-Proj_Inputs!$B$44)*B241</f>
        <v>-4.1128400000000002E-2</v>
      </c>
      <c r="I241" s="230">
        <f>Proj_Inputs!$B$45+(Proj_Inputs!$C$45-Proj_Inputs!$B$45)*C241</f>
        <v>2.3973599999999942E-3</v>
      </c>
      <c r="J241" s="230">
        <f>Proj_Inputs!$B$46+(Proj_Inputs!$C$46-Proj_Inputs!$B$46)*D241</f>
        <v>-7.5149999999999939E-3</v>
      </c>
      <c r="K241" s="230">
        <f>Proj_Inputs!$B$47+(Proj_Inputs!$C$47-Proj_Inputs!$B$47)*E241</f>
        <v>0.19609949999999998</v>
      </c>
      <c r="L241" s="230">
        <f>Proj_Inputs!$B$46+(Proj_Inputs!$C$46-Proj_Inputs!$B$46)*F241</f>
        <v>-3.3265999999999851E-3</v>
      </c>
      <c r="M241" s="230">
        <f>Proj_Inputs!$B$47+(Proj_Inputs!$C$47-Proj_Inputs!$B$47)*G241</f>
        <v>3.4914500000000001E-2</v>
      </c>
      <c r="N241" s="231">
        <f>(1+H241)*(Proj_Inputs!$B$20+J241)/Proj_Inputs!$B$20*((Proj_Inputs!$B$21+I241)*(1-Proj_Inputs!$B$24)*NPV_Pirelli!$B$47+NPV_Pirelli!$B$49)+(1+K241)*NPV_Pirelli!$B$48</f>
        <v>206.17711208683352</v>
      </c>
      <c r="O241" s="231">
        <f>(1+H241)*(Proj_Inputs!$C$20+L241)/Proj_Inputs!$C$20*((Proj_Inputs!$C$21+I241)*(1-Proj_Inputs!$C$24)*NPV_Hankook!$B$47+NPV_Hankook!$B$49)+(1+M241)*NPV_Hankook!$B$48</f>
        <v>-162.62088461016333</v>
      </c>
    </row>
    <row r="242" spans="1:15" x14ac:dyDescent="0.2">
      <c r="A242" s="228">
        <v>218</v>
      </c>
      <c r="B242" s="229">
        <v>0.89321799999999996</v>
      </c>
      <c r="C242" s="229">
        <v>0.434784</v>
      </c>
      <c r="D242" s="229">
        <v>0.47730099999999998</v>
      </c>
      <c r="E242" s="229">
        <v>0.76463400000000004</v>
      </c>
      <c r="F242" s="229">
        <v>0.117838</v>
      </c>
      <c r="G242" s="229">
        <v>0.78710999999999998</v>
      </c>
      <c r="H242" s="230">
        <f>Proj_Inputs!$B$44+(Proj_Inputs!$C$44-Proj_Inputs!$B$44)*B242</f>
        <v>7.8643600000000008E-2</v>
      </c>
      <c r="I242" s="230">
        <f>Proj_Inputs!$B$45+(Proj_Inputs!$C$45-Proj_Inputs!$B$45)*C242</f>
        <v>-5.2172799999999978E-3</v>
      </c>
      <c r="J242" s="230">
        <f>Proj_Inputs!$B$46+(Proj_Inputs!$C$46-Proj_Inputs!$B$46)*D242</f>
        <v>-5.4539799999999999E-2</v>
      </c>
      <c r="K242" s="230">
        <f>Proj_Inputs!$B$47+(Proj_Inputs!$C$47-Proj_Inputs!$B$47)*E242</f>
        <v>0.14115850000000002</v>
      </c>
      <c r="L242" s="230">
        <f>Proj_Inputs!$B$46+(Proj_Inputs!$C$46-Proj_Inputs!$B$46)*F242</f>
        <v>-0.1264324</v>
      </c>
      <c r="M242" s="230">
        <f>Proj_Inputs!$B$47+(Proj_Inputs!$C$47-Proj_Inputs!$B$47)*G242</f>
        <v>0.14677750000000001</v>
      </c>
      <c r="N242" s="231">
        <f>(1+H242)*(Proj_Inputs!$B$20+J242)/Proj_Inputs!$B$20*((Proj_Inputs!$B$21+I242)*(1-Proj_Inputs!$B$24)*NPV_Pirelli!$B$47+NPV_Pirelli!$B$49)+(1+K242)*NPV_Pirelli!$B$48</f>
        <v>277.18492865164978</v>
      </c>
      <c r="O242" s="231">
        <f>(1+H242)*(Proj_Inputs!$C$20+L242)/Proj_Inputs!$C$20*((Proj_Inputs!$C$21+I242)*(1-Proj_Inputs!$C$24)*NPV_Hankook!$B$47+NPV_Hankook!$B$49)+(1+M242)*NPV_Hankook!$B$48</f>
        <v>-371.88402619804992</v>
      </c>
    </row>
    <row r="243" spans="1:15" x14ac:dyDescent="0.2">
      <c r="A243" s="228">
        <v>219</v>
      </c>
      <c r="B243" s="229">
        <v>0.96748699999999999</v>
      </c>
      <c r="C243" s="229">
        <v>0.28504299999999999</v>
      </c>
      <c r="D243" s="229">
        <v>0.72937600000000002</v>
      </c>
      <c r="E243" s="229">
        <v>0.59650800000000004</v>
      </c>
      <c r="F243" s="229">
        <v>0.71022799999999997</v>
      </c>
      <c r="G243" s="229">
        <v>0.47859800000000002</v>
      </c>
      <c r="H243" s="230">
        <f>Proj_Inputs!$B$44+(Proj_Inputs!$C$44-Proj_Inputs!$B$44)*B243</f>
        <v>9.3497400000000008E-2</v>
      </c>
      <c r="I243" s="230">
        <f>Proj_Inputs!$B$45+(Proj_Inputs!$C$45-Proj_Inputs!$B$45)*C243</f>
        <v>-1.719656E-2</v>
      </c>
      <c r="J243" s="230">
        <f>Proj_Inputs!$B$46+(Proj_Inputs!$C$46-Proj_Inputs!$B$46)*D243</f>
        <v>-4.124799999999984E-3</v>
      </c>
      <c r="K243" s="230">
        <f>Proj_Inputs!$B$47+(Proj_Inputs!$C$47-Proj_Inputs!$B$47)*E243</f>
        <v>9.9127000000000007E-2</v>
      </c>
      <c r="L243" s="230">
        <f>Proj_Inputs!$B$46+(Proj_Inputs!$C$46-Proj_Inputs!$B$46)*F243</f>
        <v>-7.9544000000000004E-3</v>
      </c>
      <c r="M243" s="230">
        <f>Proj_Inputs!$B$47+(Proj_Inputs!$C$47-Proj_Inputs!$B$47)*G243</f>
        <v>6.9649500000000003E-2</v>
      </c>
      <c r="N243" s="231">
        <f>(1+H243)*(Proj_Inputs!$B$20+J243)/Proj_Inputs!$B$20*((Proj_Inputs!$B$21+I243)*(1-Proj_Inputs!$B$24)*NPV_Pirelli!$B$47+NPV_Pirelli!$B$49)+(1+K243)*NPV_Pirelli!$B$48</f>
        <v>317.00297889732599</v>
      </c>
      <c r="O243" s="231">
        <f>(1+H243)*(Proj_Inputs!$C$20+L243)/Proj_Inputs!$C$20*((Proj_Inputs!$C$21+I243)*(1-Proj_Inputs!$C$24)*NPV_Hankook!$B$47+NPV_Hankook!$B$49)+(1+M243)*NPV_Hankook!$B$48</f>
        <v>-208.49572411721897</v>
      </c>
    </row>
    <row r="244" spans="1:15" x14ac:dyDescent="0.2">
      <c r="A244" s="228">
        <v>220</v>
      </c>
      <c r="B244" s="229">
        <v>0.67745500000000003</v>
      </c>
      <c r="C244" s="229">
        <v>0.77162299999999995</v>
      </c>
      <c r="D244" s="229">
        <v>0.26167600000000002</v>
      </c>
      <c r="E244" s="229">
        <v>0.32556800000000002</v>
      </c>
      <c r="F244" s="229">
        <v>0.69029799999999997</v>
      </c>
      <c r="G244" s="229">
        <v>0.458955</v>
      </c>
      <c r="H244" s="230">
        <f>Proj_Inputs!$B$44+(Proj_Inputs!$C$44-Proj_Inputs!$B$44)*B244</f>
        <v>3.5490999999999995E-2</v>
      </c>
      <c r="I244" s="230">
        <f>Proj_Inputs!$B$45+(Proj_Inputs!$C$45-Proj_Inputs!$B$45)*C244</f>
        <v>2.1729839999999993E-2</v>
      </c>
      <c r="J244" s="230">
        <f>Proj_Inputs!$B$46+(Proj_Inputs!$C$46-Proj_Inputs!$B$46)*D244</f>
        <v>-9.7664799999999996E-2</v>
      </c>
      <c r="K244" s="230">
        <f>Proj_Inputs!$B$47+(Proj_Inputs!$C$47-Proj_Inputs!$B$47)*E244</f>
        <v>3.1392000000000003E-2</v>
      </c>
      <c r="L244" s="230">
        <f>Proj_Inputs!$B$46+(Proj_Inputs!$C$46-Proj_Inputs!$B$46)*F244</f>
        <v>-1.194039999999999E-2</v>
      </c>
      <c r="M244" s="230">
        <f>Proj_Inputs!$B$47+(Proj_Inputs!$C$47-Proj_Inputs!$B$47)*G244</f>
        <v>6.4738749999999998E-2</v>
      </c>
      <c r="N244" s="231">
        <f>(1+H244)*(Proj_Inputs!$B$20+J244)/Proj_Inputs!$B$20*((Proj_Inputs!$B$21+I244)*(1-Proj_Inputs!$B$24)*NPV_Pirelli!$B$47+NPV_Pirelli!$B$49)+(1+K244)*NPV_Pirelli!$B$48</f>
        <v>412.89826139025263</v>
      </c>
      <c r="O244" s="231">
        <f>(1+H244)*(Proj_Inputs!$C$20+L244)/Proj_Inputs!$C$20*((Proj_Inputs!$C$21+I244)*(1-Proj_Inputs!$C$24)*NPV_Hankook!$B$47+NPV_Hankook!$B$49)+(1+M244)*NPV_Hankook!$B$48</f>
        <v>10.45891209337492</v>
      </c>
    </row>
    <row r="245" spans="1:15" x14ac:dyDescent="0.2">
      <c r="A245" s="228">
        <v>221</v>
      </c>
      <c r="B245" s="229">
        <v>0.377077</v>
      </c>
      <c r="C245" s="229">
        <v>0.10155699999999999</v>
      </c>
      <c r="D245" s="229">
        <v>0.683894</v>
      </c>
      <c r="E245" s="229">
        <v>0.60210399999999997</v>
      </c>
      <c r="F245" s="229">
        <v>0.42879099999999998</v>
      </c>
      <c r="G245" s="229">
        <v>0.72106300000000001</v>
      </c>
      <c r="H245" s="230">
        <f>Proj_Inputs!$B$44+(Proj_Inputs!$C$44-Proj_Inputs!$B$44)*B245</f>
        <v>-2.4584599999999998E-2</v>
      </c>
      <c r="I245" s="230">
        <f>Proj_Inputs!$B$45+(Proj_Inputs!$C$45-Proj_Inputs!$B$45)*C245</f>
        <v>-3.1875440000000005E-2</v>
      </c>
      <c r="J245" s="230">
        <f>Proj_Inputs!$B$46+(Proj_Inputs!$C$46-Proj_Inputs!$B$46)*D245</f>
        <v>-1.3221199999999989E-2</v>
      </c>
      <c r="K245" s="230">
        <f>Proj_Inputs!$B$47+(Proj_Inputs!$C$47-Proj_Inputs!$B$47)*E245</f>
        <v>0.10052599999999999</v>
      </c>
      <c r="L245" s="230">
        <f>Proj_Inputs!$B$46+(Proj_Inputs!$C$46-Proj_Inputs!$B$46)*F245</f>
        <v>-6.4241799999999988E-2</v>
      </c>
      <c r="M245" s="230">
        <f>Proj_Inputs!$B$47+(Proj_Inputs!$C$47-Proj_Inputs!$B$47)*G245</f>
        <v>0.13026575000000001</v>
      </c>
      <c r="N245" s="231">
        <f>(1+H245)*(Proj_Inputs!$B$20+J245)/Proj_Inputs!$B$20*((Proj_Inputs!$B$21+I245)*(1-Proj_Inputs!$B$24)*NPV_Pirelli!$B$47+NPV_Pirelli!$B$49)+(1+K245)*NPV_Pirelli!$B$48</f>
        <v>90.107479965892821</v>
      </c>
      <c r="O245" s="231">
        <f>(1+H245)*(Proj_Inputs!$C$20+L245)/Proj_Inputs!$C$20*((Proj_Inputs!$C$21+I245)*(1-Proj_Inputs!$C$24)*NPV_Hankook!$B$47+NPV_Hankook!$B$49)+(1+M245)*NPV_Hankook!$B$48</f>
        <v>-540.28854060194317</v>
      </c>
    </row>
    <row r="246" spans="1:15" x14ac:dyDescent="0.2">
      <c r="A246" s="228">
        <v>222</v>
      </c>
      <c r="B246" s="229">
        <v>0.92569400000000002</v>
      </c>
      <c r="C246" s="229">
        <v>0.10015400000000001</v>
      </c>
      <c r="D246" s="229">
        <v>0.79008999999999996</v>
      </c>
      <c r="E246" s="229">
        <v>0.16995399999999999</v>
      </c>
      <c r="F246" s="229">
        <v>0.378718</v>
      </c>
      <c r="G246" s="229">
        <v>0.335397</v>
      </c>
      <c r="H246" s="230">
        <f>Proj_Inputs!$B$44+(Proj_Inputs!$C$44-Proj_Inputs!$B$44)*B246</f>
        <v>8.5138800000000014E-2</v>
      </c>
      <c r="I246" s="230">
        <f>Proj_Inputs!$B$45+(Proj_Inputs!$C$45-Proj_Inputs!$B$45)*C246</f>
        <v>-3.1987680000000004E-2</v>
      </c>
      <c r="J246" s="230">
        <f>Proj_Inputs!$B$46+(Proj_Inputs!$C$46-Proj_Inputs!$B$46)*D246</f>
        <v>8.0179999999999974E-3</v>
      </c>
      <c r="K246" s="230">
        <f>Proj_Inputs!$B$47+(Proj_Inputs!$C$47-Proj_Inputs!$B$47)*E246</f>
        <v>-7.5115000000000043E-3</v>
      </c>
      <c r="L246" s="230">
        <f>Proj_Inputs!$B$46+(Proj_Inputs!$C$46-Proj_Inputs!$B$46)*F246</f>
        <v>-7.4256399999999986E-2</v>
      </c>
      <c r="M246" s="230">
        <f>Proj_Inputs!$B$47+(Proj_Inputs!$C$47-Proj_Inputs!$B$47)*G246</f>
        <v>3.3849249999999997E-2</v>
      </c>
      <c r="N246" s="231">
        <f>(1+H246)*(Proj_Inputs!$B$20+J246)/Proj_Inputs!$B$20*((Proj_Inputs!$B$21+I246)*(1-Proj_Inputs!$B$24)*NPV_Pirelli!$B$47+NPV_Pirelli!$B$49)+(1+K246)*NPV_Pirelli!$B$48</f>
        <v>307.76805864465359</v>
      </c>
      <c r="O246" s="231">
        <f>(1+H246)*(Proj_Inputs!$C$20+L246)/Proj_Inputs!$C$20*((Proj_Inputs!$C$21+I246)*(1-Proj_Inputs!$C$24)*NPV_Hankook!$B$47+NPV_Hankook!$B$49)+(1+M246)*NPV_Hankook!$B$48</f>
        <v>-352.08851130222172</v>
      </c>
    </row>
    <row r="247" spans="1:15" x14ac:dyDescent="0.2">
      <c r="A247" s="228">
        <v>223</v>
      </c>
      <c r="B247" s="229">
        <v>0.214028</v>
      </c>
      <c r="C247" s="229">
        <v>0.67270700000000005</v>
      </c>
      <c r="D247" s="229">
        <v>2.5533E-2</v>
      </c>
      <c r="E247" s="229">
        <v>0.58211999999999997</v>
      </c>
      <c r="F247" s="229">
        <v>0.232374</v>
      </c>
      <c r="G247" s="229">
        <v>0.24812899999999999</v>
      </c>
      <c r="H247" s="230">
        <f>Proj_Inputs!$B$44+(Proj_Inputs!$C$44-Proj_Inputs!$B$44)*B247</f>
        <v>-5.7194400000000006E-2</v>
      </c>
      <c r="I247" s="230">
        <f>Proj_Inputs!$B$45+(Proj_Inputs!$C$45-Proj_Inputs!$B$45)*C247</f>
        <v>1.3816560000000006E-2</v>
      </c>
      <c r="J247" s="230">
        <f>Proj_Inputs!$B$46+(Proj_Inputs!$C$46-Proj_Inputs!$B$46)*D247</f>
        <v>-0.14489340000000001</v>
      </c>
      <c r="K247" s="230">
        <f>Proj_Inputs!$B$47+(Proj_Inputs!$C$47-Proj_Inputs!$B$47)*E247</f>
        <v>9.552999999999999E-2</v>
      </c>
      <c r="L247" s="230">
        <f>Proj_Inputs!$B$46+(Proj_Inputs!$C$46-Proj_Inputs!$B$46)*F247</f>
        <v>-0.10352519999999998</v>
      </c>
      <c r="M247" s="230">
        <f>Proj_Inputs!$B$47+(Proj_Inputs!$C$47-Proj_Inputs!$B$47)*G247</f>
        <v>1.2032249999999994E-2</v>
      </c>
      <c r="N247" s="231">
        <f>(1+H247)*(Proj_Inputs!$B$20+J247)/Proj_Inputs!$B$20*((Proj_Inputs!$B$21+I247)*(1-Proj_Inputs!$B$24)*NPV_Pirelli!$B$47+NPV_Pirelli!$B$49)+(1+K247)*NPV_Pirelli!$B$48</f>
        <v>148.16785727700028</v>
      </c>
      <c r="O247" s="231">
        <f>(1+H247)*(Proj_Inputs!$C$20+L247)/Proj_Inputs!$C$20*((Proj_Inputs!$C$21+I247)*(1-Proj_Inputs!$C$24)*NPV_Hankook!$B$47+NPV_Hankook!$B$49)+(1+M247)*NPV_Hankook!$B$48</f>
        <v>-202.56457172600119</v>
      </c>
    </row>
    <row r="248" spans="1:15" x14ac:dyDescent="0.2">
      <c r="A248" s="228">
        <v>224</v>
      </c>
      <c r="B248" s="229">
        <v>0.450347</v>
      </c>
      <c r="C248" s="229">
        <v>4.7273000000000003E-2</v>
      </c>
      <c r="D248" s="229">
        <v>0.99041199999999996</v>
      </c>
      <c r="E248" s="229">
        <v>0.40866599999999997</v>
      </c>
      <c r="F248" s="229">
        <v>3.8731000000000002E-2</v>
      </c>
      <c r="G248" s="229">
        <v>0.46248</v>
      </c>
      <c r="H248" s="230">
        <f>Proj_Inputs!$B$44+(Proj_Inputs!$C$44-Proj_Inputs!$B$44)*B248</f>
        <v>-9.9305999999999978E-3</v>
      </c>
      <c r="I248" s="230">
        <f>Proj_Inputs!$B$45+(Proj_Inputs!$C$45-Proj_Inputs!$B$45)*C248</f>
        <v>-3.6218159999999999E-2</v>
      </c>
      <c r="J248" s="230">
        <f>Proj_Inputs!$B$46+(Proj_Inputs!$C$46-Proj_Inputs!$B$46)*D248</f>
        <v>4.8082399999999997E-2</v>
      </c>
      <c r="K248" s="230">
        <f>Proj_Inputs!$B$47+(Proj_Inputs!$C$47-Proj_Inputs!$B$47)*E248</f>
        <v>5.2166499999999991E-2</v>
      </c>
      <c r="L248" s="230">
        <f>Proj_Inputs!$B$46+(Proj_Inputs!$C$46-Proj_Inputs!$B$46)*F248</f>
        <v>-0.14225379999999999</v>
      </c>
      <c r="M248" s="230">
        <f>Proj_Inputs!$B$47+(Proj_Inputs!$C$47-Proj_Inputs!$B$47)*G248</f>
        <v>6.5619999999999998E-2</v>
      </c>
      <c r="N248" s="231">
        <f>(1+H248)*(Proj_Inputs!$B$20+J248)/Proj_Inputs!$B$20*((Proj_Inputs!$B$21+I248)*(1-Proj_Inputs!$B$24)*NPV_Pirelli!$B$47+NPV_Pirelli!$B$49)+(1+K248)*NPV_Pirelli!$B$48</f>
        <v>181.8019933460057</v>
      </c>
      <c r="O248" s="231">
        <f>(1+H248)*(Proj_Inputs!$C$20+L248)/Proj_Inputs!$C$20*((Proj_Inputs!$C$21+I248)*(1-Proj_Inputs!$C$24)*NPV_Hankook!$B$47+NPV_Hankook!$B$49)+(1+M248)*NPV_Hankook!$B$48</f>
        <v>-551.64329018503099</v>
      </c>
    </row>
    <row r="249" spans="1:15" x14ac:dyDescent="0.2">
      <c r="A249" s="228">
        <v>225</v>
      </c>
      <c r="B249" s="229">
        <v>0.96967599999999998</v>
      </c>
      <c r="C249" s="229">
        <v>0.69577800000000001</v>
      </c>
      <c r="D249" s="229">
        <v>0.75617599999999996</v>
      </c>
      <c r="E249" s="229">
        <v>0.19053</v>
      </c>
      <c r="F249" s="229">
        <v>0.90913699999999997</v>
      </c>
      <c r="G249" s="229">
        <v>0.61128400000000005</v>
      </c>
      <c r="H249" s="230">
        <f>Proj_Inputs!$B$44+(Proj_Inputs!$C$44-Proj_Inputs!$B$44)*B249</f>
        <v>9.3935199999999996E-2</v>
      </c>
      <c r="I249" s="230">
        <f>Proj_Inputs!$B$45+(Proj_Inputs!$C$45-Proj_Inputs!$B$45)*C249</f>
        <v>1.5662240000000001E-2</v>
      </c>
      <c r="J249" s="230">
        <f>Proj_Inputs!$B$46+(Proj_Inputs!$C$46-Proj_Inputs!$B$46)*D249</f>
        <v>1.2352000000000196E-3</v>
      </c>
      <c r="K249" s="230">
        <f>Proj_Inputs!$B$47+(Proj_Inputs!$C$47-Proj_Inputs!$B$47)*E249</f>
        <v>-2.3675000000000015E-3</v>
      </c>
      <c r="L249" s="230">
        <f>Proj_Inputs!$B$46+(Proj_Inputs!$C$46-Proj_Inputs!$B$46)*F249</f>
        <v>3.1827400000000006E-2</v>
      </c>
      <c r="M249" s="230">
        <f>Proj_Inputs!$B$47+(Proj_Inputs!$C$47-Proj_Inputs!$B$47)*G249</f>
        <v>0.10282100000000001</v>
      </c>
      <c r="N249" s="231">
        <f>(1+H249)*(Proj_Inputs!$B$20+J249)/Proj_Inputs!$B$20*((Proj_Inputs!$B$21+I249)*(1-Proj_Inputs!$B$24)*NPV_Pirelli!$B$47+NPV_Pirelli!$B$49)+(1+K249)*NPV_Pirelli!$B$48</f>
        <v>627.24346486405091</v>
      </c>
      <c r="O249" s="231">
        <f>(1+H249)*(Proj_Inputs!$C$20+L249)/Proj_Inputs!$C$20*((Proj_Inputs!$C$21+I249)*(1-Proj_Inputs!$C$24)*NPV_Hankook!$B$47+NPV_Hankook!$B$49)+(1+M249)*NPV_Hankook!$B$48</f>
        <v>54.594764005447132</v>
      </c>
    </row>
    <row r="250" spans="1:15" x14ac:dyDescent="0.2">
      <c r="A250" s="228">
        <v>226</v>
      </c>
      <c r="B250" s="229">
        <v>7.3896000000000003E-2</v>
      </c>
      <c r="C250" s="229">
        <v>0.58202799999999999</v>
      </c>
      <c r="D250" s="229">
        <v>0.46326600000000001</v>
      </c>
      <c r="E250" s="229">
        <v>0.65610900000000005</v>
      </c>
      <c r="F250" s="229">
        <v>0.160194</v>
      </c>
      <c r="G250" s="229">
        <v>0.27426800000000001</v>
      </c>
      <c r="H250" s="230">
        <f>Proj_Inputs!$B$44+(Proj_Inputs!$C$44-Proj_Inputs!$B$44)*B250</f>
        <v>-8.5220799999999999E-2</v>
      </c>
      <c r="I250" s="230">
        <f>Proj_Inputs!$B$45+(Proj_Inputs!$C$45-Proj_Inputs!$B$45)*C250</f>
        <v>6.562239999999997E-3</v>
      </c>
      <c r="J250" s="230">
        <f>Proj_Inputs!$B$46+(Proj_Inputs!$C$46-Proj_Inputs!$B$46)*D250</f>
        <v>-5.7346799999999989E-2</v>
      </c>
      <c r="K250" s="230">
        <f>Proj_Inputs!$B$47+(Proj_Inputs!$C$47-Proj_Inputs!$B$47)*E250</f>
        <v>0.11402725000000001</v>
      </c>
      <c r="L250" s="230">
        <f>Proj_Inputs!$B$46+(Proj_Inputs!$C$46-Proj_Inputs!$B$46)*F250</f>
        <v>-0.11796119999999999</v>
      </c>
      <c r="M250" s="230">
        <f>Proj_Inputs!$B$47+(Proj_Inputs!$C$47-Proj_Inputs!$B$47)*G250</f>
        <v>1.8567E-2</v>
      </c>
      <c r="N250" s="231">
        <f>(1+H250)*(Proj_Inputs!$B$20+J250)/Proj_Inputs!$B$20*((Proj_Inputs!$B$21+I250)*(1-Proj_Inputs!$B$24)*NPV_Pirelli!$B$47+NPV_Pirelli!$B$49)+(1+K250)*NPV_Pirelli!$B$48</f>
        <v>178.89448200952006</v>
      </c>
      <c r="O250" s="231">
        <f>(1+H250)*(Proj_Inputs!$C$20+L250)/Proj_Inputs!$C$20*((Proj_Inputs!$C$21+I250)*(1-Proj_Inputs!$C$24)*NPV_Hankook!$B$47+NPV_Hankook!$B$49)+(1+M250)*NPV_Hankook!$B$48</f>
        <v>-295.80164699488819</v>
      </c>
    </row>
    <row r="251" spans="1:15" x14ac:dyDescent="0.2">
      <c r="A251" s="228">
        <v>227</v>
      </c>
      <c r="B251" s="229">
        <v>0.69795399999999996</v>
      </c>
      <c r="C251" s="229">
        <v>0.68340000000000001</v>
      </c>
      <c r="D251" s="229">
        <v>0.430838</v>
      </c>
      <c r="E251" s="229">
        <v>6.565E-2</v>
      </c>
      <c r="F251" s="229">
        <v>0.43049399999999999</v>
      </c>
      <c r="G251" s="229">
        <v>0.31837700000000002</v>
      </c>
      <c r="H251" s="230">
        <f>Proj_Inputs!$B$44+(Proj_Inputs!$C$44-Proj_Inputs!$B$44)*B251</f>
        <v>3.9590799999999982E-2</v>
      </c>
      <c r="I251" s="230">
        <f>Proj_Inputs!$B$45+(Proj_Inputs!$C$45-Proj_Inputs!$B$45)*C251</f>
        <v>1.4671999999999998E-2</v>
      </c>
      <c r="J251" s="230">
        <f>Proj_Inputs!$B$46+(Proj_Inputs!$C$46-Proj_Inputs!$B$46)*D251</f>
        <v>-6.3832399999999984E-2</v>
      </c>
      <c r="K251" s="230">
        <f>Proj_Inputs!$B$47+(Proj_Inputs!$C$47-Proj_Inputs!$B$47)*E251</f>
        <v>-3.3587500000000006E-2</v>
      </c>
      <c r="L251" s="230">
        <f>Proj_Inputs!$B$46+(Proj_Inputs!$C$46-Proj_Inputs!$B$46)*F251</f>
        <v>-6.3901199999999991E-2</v>
      </c>
      <c r="M251" s="230">
        <f>Proj_Inputs!$B$47+(Proj_Inputs!$C$47-Proj_Inputs!$B$47)*G251</f>
        <v>2.9594250000000002E-2</v>
      </c>
      <c r="N251" s="231">
        <f>(1+H251)*(Proj_Inputs!$B$20+J251)/Proj_Inputs!$B$20*((Proj_Inputs!$B$21+I251)*(1-Proj_Inputs!$B$24)*NPV_Pirelli!$B$47+NPV_Pirelli!$B$49)+(1+K251)*NPV_Pirelli!$B$48</f>
        <v>478.71015499514954</v>
      </c>
      <c r="O251" s="231">
        <f>(1+H251)*(Proj_Inputs!$C$20+L251)/Proj_Inputs!$C$20*((Proj_Inputs!$C$21+I251)*(1-Proj_Inputs!$C$24)*NPV_Hankook!$B$47+NPV_Hankook!$B$49)+(1+M251)*NPV_Hankook!$B$48</f>
        <v>-63.798635863122627</v>
      </c>
    </row>
    <row r="252" spans="1:15" x14ac:dyDescent="0.2">
      <c r="A252" s="228">
        <v>228</v>
      </c>
      <c r="B252" s="229">
        <v>0.28407399999999999</v>
      </c>
      <c r="C252" s="229">
        <v>0.14574899999999999</v>
      </c>
      <c r="D252" s="229">
        <v>0.28422199999999997</v>
      </c>
      <c r="E252" s="229">
        <v>0.55261400000000005</v>
      </c>
      <c r="F252" s="229">
        <v>0.40226600000000001</v>
      </c>
      <c r="G252" s="229">
        <v>0.30711500000000003</v>
      </c>
      <c r="H252" s="230">
        <f>Proj_Inputs!$B$44+(Proj_Inputs!$C$44-Proj_Inputs!$B$44)*B252</f>
        <v>-4.3185200000000007E-2</v>
      </c>
      <c r="I252" s="230">
        <f>Proj_Inputs!$B$45+(Proj_Inputs!$C$45-Proj_Inputs!$B$45)*C252</f>
        <v>-2.8340080000000004E-2</v>
      </c>
      <c r="J252" s="230">
        <f>Proj_Inputs!$B$46+(Proj_Inputs!$C$46-Proj_Inputs!$B$46)*D252</f>
        <v>-9.3155600000000005E-2</v>
      </c>
      <c r="K252" s="230">
        <f>Proj_Inputs!$B$47+(Proj_Inputs!$C$47-Proj_Inputs!$B$47)*E252</f>
        <v>8.815350000000001E-2</v>
      </c>
      <c r="L252" s="230">
        <f>Proj_Inputs!$B$46+(Proj_Inputs!$C$46-Proj_Inputs!$B$46)*F252</f>
        <v>-6.9546799999999992E-2</v>
      </c>
      <c r="M252" s="230">
        <f>Proj_Inputs!$B$47+(Proj_Inputs!$C$47-Proj_Inputs!$B$47)*G252</f>
        <v>2.6778750000000004E-2</v>
      </c>
      <c r="N252" s="231">
        <f>(1+H252)*(Proj_Inputs!$B$20+J252)/Proj_Inputs!$B$20*((Proj_Inputs!$B$21+I252)*(1-Proj_Inputs!$B$24)*NPV_Pirelli!$B$47+NPV_Pirelli!$B$49)+(1+K252)*NPV_Pirelli!$B$48</f>
        <v>15.676818589476284</v>
      </c>
      <c r="O252" s="231">
        <f>(1+H252)*(Proj_Inputs!$C$20+L252)/Proj_Inputs!$C$20*((Proj_Inputs!$C$21+I252)*(1-Proj_Inputs!$C$24)*NPV_Hankook!$B$47+NPV_Hankook!$B$49)+(1+M252)*NPV_Hankook!$B$48</f>
        <v>-418.10375334919308</v>
      </c>
    </row>
    <row r="253" spans="1:15" x14ac:dyDescent="0.2">
      <c r="A253" s="228">
        <v>229</v>
      </c>
      <c r="B253" s="229">
        <v>0.85327299999999995</v>
      </c>
      <c r="C253" s="229">
        <v>0.42630099999999999</v>
      </c>
      <c r="D253" s="229">
        <v>0.92431200000000002</v>
      </c>
      <c r="E253" s="229">
        <v>9.8760000000000001E-2</v>
      </c>
      <c r="F253" s="229">
        <v>0.86443000000000003</v>
      </c>
      <c r="G253" s="229">
        <v>0.47815099999999999</v>
      </c>
      <c r="H253" s="230">
        <f>Proj_Inputs!$B$44+(Proj_Inputs!$C$44-Proj_Inputs!$B$44)*B253</f>
        <v>7.0654599999999984E-2</v>
      </c>
      <c r="I253" s="230">
        <f>Proj_Inputs!$B$45+(Proj_Inputs!$C$45-Proj_Inputs!$B$45)*C253</f>
        <v>-5.8959199999999989E-3</v>
      </c>
      <c r="J253" s="230">
        <f>Proj_Inputs!$B$46+(Proj_Inputs!$C$46-Proj_Inputs!$B$46)*D253</f>
        <v>3.4862400000000016E-2</v>
      </c>
      <c r="K253" s="230">
        <f>Proj_Inputs!$B$47+(Proj_Inputs!$C$47-Proj_Inputs!$B$47)*E253</f>
        <v>-2.5310000000000003E-2</v>
      </c>
      <c r="L253" s="230">
        <f>Proj_Inputs!$B$46+(Proj_Inputs!$C$46-Proj_Inputs!$B$46)*F253</f>
        <v>2.2886000000000017E-2</v>
      </c>
      <c r="M253" s="230">
        <f>Proj_Inputs!$B$47+(Proj_Inputs!$C$47-Proj_Inputs!$B$47)*G253</f>
        <v>6.9537749999999995E-2</v>
      </c>
      <c r="N253" s="231">
        <f>(1+H253)*(Proj_Inputs!$B$20+J253)/Proj_Inputs!$B$20*((Proj_Inputs!$B$21+I253)*(1-Proj_Inputs!$B$24)*NPV_Pirelli!$B$47+NPV_Pirelli!$B$49)+(1+K253)*NPV_Pirelli!$B$48</f>
        <v>518.55447755660657</v>
      </c>
      <c r="O253" s="231">
        <f>(1+H253)*(Proj_Inputs!$C$20+L253)/Proj_Inputs!$C$20*((Proj_Inputs!$C$21+I253)*(1-Proj_Inputs!$C$24)*NPV_Hankook!$B$47+NPV_Hankook!$B$49)+(1+M253)*NPV_Hankook!$B$48</f>
        <v>-109.91485004371543</v>
      </c>
    </row>
    <row r="254" spans="1:15" x14ac:dyDescent="0.2">
      <c r="A254" s="228">
        <v>230</v>
      </c>
      <c r="B254" s="229">
        <v>0.515235</v>
      </c>
      <c r="C254" s="229">
        <v>0.258046</v>
      </c>
      <c r="D254" s="229">
        <v>0.87914999999999999</v>
      </c>
      <c r="E254" s="229">
        <v>0.72170999999999996</v>
      </c>
      <c r="F254" s="229">
        <v>0.28946499999999997</v>
      </c>
      <c r="G254" s="229">
        <v>0.10331899999999999</v>
      </c>
      <c r="H254" s="230">
        <f>Proj_Inputs!$B$44+(Proj_Inputs!$C$44-Proj_Inputs!$B$44)*B254</f>
        <v>3.0469999999999942E-3</v>
      </c>
      <c r="I254" s="230">
        <f>Proj_Inputs!$B$45+(Proj_Inputs!$C$45-Proj_Inputs!$B$45)*C254</f>
        <v>-1.935632E-2</v>
      </c>
      <c r="J254" s="230">
        <f>Proj_Inputs!$B$46+(Proj_Inputs!$C$46-Proj_Inputs!$B$46)*D254</f>
        <v>2.583000000000002E-2</v>
      </c>
      <c r="K254" s="230">
        <f>Proj_Inputs!$B$47+(Proj_Inputs!$C$47-Proj_Inputs!$B$47)*E254</f>
        <v>0.13042749999999997</v>
      </c>
      <c r="L254" s="230">
        <f>Proj_Inputs!$B$46+(Proj_Inputs!$C$46-Proj_Inputs!$B$46)*F254</f>
        <v>-9.2106999999999994E-2</v>
      </c>
      <c r="M254" s="230">
        <f>Proj_Inputs!$B$47+(Proj_Inputs!$C$47-Proj_Inputs!$B$47)*G254</f>
        <v>-2.4170250000000004E-2</v>
      </c>
      <c r="N254" s="231">
        <f>(1+H254)*(Proj_Inputs!$B$20+J254)/Proj_Inputs!$B$20*((Proj_Inputs!$B$21+I254)*(1-Proj_Inputs!$B$24)*NPV_Pirelli!$B$47+NPV_Pirelli!$B$49)+(1+K254)*NPV_Pirelli!$B$48</f>
        <v>216.94491228092886</v>
      </c>
      <c r="O254" s="231">
        <f>(1+H254)*(Proj_Inputs!$C$20+L254)/Proj_Inputs!$C$20*((Proj_Inputs!$C$21+I254)*(1-Proj_Inputs!$C$24)*NPV_Hankook!$B$47+NPV_Hankook!$B$49)+(1+M254)*NPV_Hankook!$B$48</f>
        <v>-287.99663383611619</v>
      </c>
    </row>
    <row r="255" spans="1:15" x14ac:dyDescent="0.2">
      <c r="A255" s="228">
        <v>231</v>
      </c>
      <c r="B255" s="229">
        <v>0.60750899999999997</v>
      </c>
      <c r="C255" s="229">
        <v>0.51827500000000004</v>
      </c>
      <c r="D255" s="229">
        <v>0.609487</v>
      </c>
      <c r="E255" s="229">
        <v>0.128807</v>
      </c>
      <c r="F255" s="229">
        <v>0.81683399999999995</v>
      </c>
      <c r="G255" s="229">
        <v>0.54571999999999998</v>
      </c>
      <c r="H255" s="230">
        <f>Proj_Inputs!$B$44+(Proj_Inputs!$C$44-Proj_Inputs!$B$44)*B255</f>
        <v>2.1501799999999988E-2</v>
      </c>
      <c r="I255" s="230">
        <f>Proj_Inputs!$B$45+(Proj_Inputs!$C$45-Proj_Inputs!$B$45)*C255</f>
        <v>1.462000000000005E-3</v>
      </c>
      <c r="J255" s="230">
        <f>Proj_Inputs!$B$46+(Proj_Inputs!$C$46-Proj_Inputs!$B$46)*D255</f>
        <v>-2.8102599999999991E-2</v>
      </c>
      <c r="K255" s="230">
        <f>Proj_Inputs!$B$47+(Proj_Inputs!$C$47-Proj_Inputs!$B$47)*E255</f>
        <v>-1.7798250000000002E-2</v>
      </c>
      <c r="L255" s="230">
        <f>Proj_Inputs!$B$46+(Proj_Inputs!$C$46-Proj_Inputs!$B$46)*F255</f>
        <v>1.3366800000000012E-2</v>
      </c>
      <c r="M255" s="230">
        <f>Proj_Inputs!$B$47+(Proj_Inputs!$C$47-Proj_Inputs!$B$47)*G255</f>
        <v>8.6429999999999993E-2</v>
      </c>
      <c r="N255" s="231">
        <f>(1+H255)*(Proj_Inputs!$B$20+J255)/Proj_Inputs!$B$20*((Proj_Inputs!$B$21+I255)*(1-Proj_Inputs!$B$24)*NPV_Pirelli!$B$47+NPV_Pirelli!$B$49)+(1+K255)*NPV_Pirelli!$B$48</f>
        <v>415.89462079168993</v>
      </c>
      <c r="O255" s="231">
        <f>(1+H255)*(Proj_Inputs!$C$20+L255)/Proj_Inputs!$C$20*((Proj_Inputs!$C$21+I255)*(1-Proj_Inputs!$C$24)*NPV_Hankook!$B$47+NPV_Hankook!$B$49)+(1+M255)*NPV_Hankook!$B$48</f>
        <v>-140.52800466188705</v>
      </c>
    </row>
    <row r="256" spans="1:15" x14ac:dyDescent="0.2">
      <c r="A256" s="228">
        <v>232</v>
      </c>
      <c r="B256" s="229">
        <v>0.23361599999999999</v>
      </c>
      <c r="C256" s="229">
        <v>0.82553900000000002</v>
      </c>
      <c r="D256" s="229">
        <v>0.78031399999999995</v>
      </c>
      <c r="E256" s="229">
        <v>0.74128700000000003</v>
      </c>
      <c r="F256" s="229">
        <v>0.79346799999999995</v>
      </c>
      <c r="G256" s="229">
        <v>0.49632900000000002</v>
      </c>
      <c r="H256" s="230">
        <f>Proj_Inputs!$B$44+(Proj_Inputs!$C$44-Proj_Inputs!$B$44)*B256</f>
        <v>-5.3276800000000006E-2</v>
      </c>
      <c r="I256" s="230">
        <f>Proj_Inputs!$B$45+(Proj_Inputs!$C$45-Proj_Inputs!$B$45)*C256</f>
        <v>2.6043119999999996E-2</v>
      </c>
      <c r="J256" s="230">
        <f>Proj_Inputs!$B$46+(Proj_Inputs!$C$46-Proj_Inputs!$B$46)*D256</f>
        <v>6.0628000000000071E-3</v>
      </c>
      <c r="K256" s="230">
        <f>Proj_Inputs!$B$47+(Proj_Inputs!$C$47-Proj_Inputs!$B$47)*E256</f>
        <v>0.13532175000000002</v>
      </c>
      <c r="L256" s="230">
        <f>Proj_Inputs!$B$46+(Proj_Inputs!$C$46-Proj_Inputs!$B$46)*F256</f>
        <v>8.6935999999999958E-3</v>
      </c>
      <c r="M256" s="230">
        <f>Proj_Inputs!$B$47+(Proj_Inputs!$C$47-Proj_Inputs!$B$47)*G256</f>
        <v>7.4082250000000002E-2</v>
      </c>
      <c r="N256" s="231">
        <f>(1+H256)*(Proj_Inputs!$B$20+J256)/Proj_Inputs!$B$20*((Proj_Inputs!$B$21+I256)*(1-Proj_Inputs!$B$24)*NPV_Pirelli!$B$47+NPV_Pirelli!$B$49)+(1+K256)*NPV_Pirelli!$B$48</f>
        <v>396.20971722330228</v>
      </c>
      <c r="O256" s="231">
        <f>(1+H256)*(Proj_Inputs!$C$20+L256)/Proj_Inputs!$C$20*((Proj_Inputs!$C$21+I256)*(1-Proj_Inputs!$C$24)*NPV_Hankook!$B$47+NPV_Hankook!$B$49)+(1+M256)*NPV_Hankook!$B$48</f>
        <v>-52.698567017686628</v>
      </c>
    </row>
    <row r="257" spans="1:15" x14ac:dyDescent="0.2">
      <c r="A257" s="228">
        <v>233</v>
      </c>
      <c r="B257" s="229">
        <v>0.86515699999999995</v>
      </c>
      <c r="C257" s="229">
        <v>0.48443000000000003</v>
      </c>
      <c r="D257" s="229">
        <v>0.89448700000000003</v>
      </c>
      <c r="E257" s="229">
        <v>0.977302</v>
      </c>
      <c r="F257" s="229">
        <v>0.76321099999999997</v>
      </c>
      <c r="G257" s="229">
        <v>0.86625099999999999</v>
      </c>
      <c r="H257" s="230">
        <f>Proj_Inputs!$B$44+(Proj_Inputs!$C$44-Proj_Inputs!$B$44)*B257</f>
        <v>7.3031399999999996E-2</v>
      </c>
      <c r="I257" s="230">
        <f>Proj_Inputs!$B$45+(Proj_Inputs!$C$45-Proj_Inputs!$B$45)*C257</f>
        <v>-1.2455999999999995E-3</v>
      </c>
      <c r="J257" s="230">
        <f>Proj_Inputs!$B$46+(Proj_Inputs!$C$46-Proj_Inputs!$B$46)*D257</f>
        <v>2.8897400000000018E-2</v>
      </c>
      <c r="K257" s="230">
        <f>Proj_Inputs!$B$47+(Proj_Inputs!$C$47-Proj_Inputs!$B$47)*E257</f>
        <v>0.19432549999999998</v>
      </c>
      <c r="L257" s="230">
        <f>Proj_Inputs!$B$46+(Proj_Inputs!$C$46-Proj_Inputs!$B$46)*F257</f>
        <v>2.6422000000000112E-3</v>
      </c>
      <c r="M257" s="230">
        <f>Proj_Inputs!$B$47+(Proj_Inputs!$C$47-Proj_Inputs!$B$47)*G257</f>
        <v>0.16656274999999998</v>
      </c>
      <c r="N257" s="231">
        <f>(1+H257)*(Proj_Inputs!$B$20+J257)/Proj_Inputs!$B$20*((Proj_Inputs!$B$21+I257)*(1-Proj_Inputs!$B$24)*NPV_Pirelli!$B$47+NPV_Pirelli!$B$49)+(1+K257)*NPV_Pirelli!$B$48</f>
        <v>371.89209554660056</v>
      </c>
      <c r="O257" s="231">
        <f>(1+H257)*(Proj_Inputs!$C$20+L257)/Proj_Inputs!$C$20*((Proj_Inputs!$C$21+I257)*(1-Proj_Inputs!$C$24)*NPV_Hankook!$B$47+NPV_Hankook!$B$49)+(1+M257)*NPV_Hankook!$B$48</f>
        <v>-210.90550366929074</v>
      </c>
    </row>
    <row r="258" spans="1:15" x14ac:dyDescent="0.2">
      <c r="A258" s="228">
        <v>234</v>
      </c>
      <c r="B258" s="229">
        <v>0.33203100000000002</v>
      </c>
      <c r="C258" s="229">
        <v>9.5745999999999998E-2</v>
      </c>
      <c r="D258" s="229">
        <v>0.52298199999999995</v>
      </c>
      <c r="E258" s="229">
        <v>0.65817400000000004</v>
      </c>
      <c r="F258" s="229">
        <v>0.77873899999999996</v>
      </c>
      <c r="G258" s="229">
        <v>0.67710899999999996</v>
      </c>
      <c r="H258" s="230">
        <f>Proj_Inputs!$B$44+(Proj_Inputs!$C$44-Proj_Inputs!$B$44)*B258</f>
        <v>-3.3593799999999993E-2</v>
      </c>
      <c r="I258" s="230">
        <f>Proj_Inputs!$B$45+(Proj_Inputs!$C$45-Proj_Inputs!$B$45)*C258</f>
        <v>-3.2340319999999999E-2</v>
      </c>
      <c r="J258" s="230">
        <f>Proj_Inputs!$B$46+(Proj_Inputs!$C$46-Proj_Inputs!$B$46)*D258</f>
        <v>-4.5403600000000002E-2</v>
      </c>
      <c r="K258" s="230">
        <f>Proj_Inputs!$B$47+(Proj_Inputs!$C$47-Proj_Inputs!$B$47)*E258</f>
        <v>0.11454350000000001</v>
      </c>
      <c r="L258" s="230">
        <f>Proj_Inputs!$B$46+(Proj_Inputs!$C$46-Proj_Inputs!$B$46)*F258</f>
        <v>5.7477999999999974E-3</v>
      </c>
      <c r="M258" s="230">
        <f>Proj_Inputs!$B$47+(Proj_Inputs!$C$47-Proj_Inputs!$B$47)*G258</f>
        <v>0.11927724999999999</v>
      </c>
      <c r="N258" s="231">
        <f>(1+H258)*(Proj_Inputs!$B$20+J258)/Proj_Inputs!$B$20*((Proj_Inputs!$B$21+I258)*(1-Proj_Inputs!$B$24)*NPV_Pirelli!$B$47+NPV_Pirelli!$B$49)+(1+K258)*NPV_Pirelli!$B$48</f>
        <v>33.136738465070607</v>
      </c>
      <c r="O258" s="231">
        <f>(1+H258)*(Proj_Inputs!$C$20+L258)/Proj_Inputs!$C$20*((Proj_Inputs!$C$21+I258)*(1-Proj_Inputs!$C$24)*NPV_Hankook!$B$47+NPV_Hankook!$B$49)+(1+M258)*NPV_Hankook!$B$48</f>
        <v>-473.49277492592159</v>
      </c>
    </row>
    <row r="259" spans="1:15" x14ac:dyDescent="0.2">
      <c r="A259" s="228">
        <v>235</v>
      </c>
      <c r="B259" s="229">
        <v>0.36230800000000002</v>
      </c>
      <c r="C259" s="229">
        <v>0.14849799999999999</v>
      </c>
      <c r="D259" s="229">
        <v>0.21213299999999999</v>
      </c>
      <c r="E259" s="229">
        <v>3.0956999999999998E-2</v>
      </c>
      <c r="F259" s="229">
        <v>0.478964</v>
      </c>
      <c r="G259" s="229">
        <v>6.2799999999999998E-4</v>
      </c>
      <c r="H259" s="230">
        <f>Proj_Inputs!$B$44+(Proj_Inputs!$C$44-Proj_Inputs!$B$44)*B259</f>
        <v>-2.7538400000000005E-2</v>
      </c>
      <c r="I259" s="230">
        <f>Proj_Inputs!$B$45+(Proj_Inputs!$C$45-Proj_Inputs!$B$45)*C259</f>
        <v>-2.8120160000000002E-2</v>
      </c>
      <c r="J259" s="230">
        <f>Proj_Inputs!$B$46+(Proj_Inputs!$C$46-Proj_Inputs!$B$46)*D259</f>
        <v>-0.10757339999999999</v>
      </c>
      <c r="K259" s="230">
        <f>Proj_Inputs!$B$47+(Proj_Inputs!$C$47-Proj_Inputs!$B$47)*E259</f>
        <v>-4.226075E-2</v>
      </c>
      <c r="L259" s="230">
        <f>Proj_Inputs!$B$46+(Proj_Inputs!$C$46-Proj_Inputs!$B$46)*F259</f>
        <v>-5.4207199999999983E-2</v>
      </c>
      <c r="M259" s="230">
        <f>Proj_Inputs!$B$47+(Proj_Inputs!$C$47-Proj_Inputs!$B$47)*G259</f>
        <v>-4.9843000000000005E-2</v>
      </c>
      <c r="N259" s="231">
        <f>(1+H259)*(Proj_Inputs!$B$20+J259)/Proj_Inputs!$B$20*((Proj_Inputs!$B$21+I259)*(1-Proj_Inputs!$B$24)*NPV_Pirelli!$B$47+NPV_Pirelli!$B$49)+(1+K259)*NPV_Pirelli!$B$48</f>
        <v>118.07377210673098</v>
      </c>
      <c r="O259" s="231">
        <f>(1+H259)*(Proj_Inputs!$C$20+L259)/Proj_Inputs!$C$20*((Proj_Inputs!$C$21+I259)*(1-Proj_Inputs!$C$24)*NPV_Hankook!$B$47+NPV_Hankook!$B$49)+(1+M259)*NPV_Hankook!$B$48</f>
        <v>-300.3211619661173</v>
      </c>
    </row>
    <row r="260" spans="1:15" x14ac:dyDescent="0.2">
      <c r="A260" s="228">
        <v>236</v>
      </c>
      <c r="B260" s="229">
        <v>0.91623399999999999</v>
      </c>
      <c r="C260" s="229">
        <v>0.34881299999999998</v>
      </c>
      <c r="D260" s="229">
        <v>0.23841999999999999</v>
      </c>
      <c r="E260" s="229">
        <v>0.517177</v>
      </c>
      <c r="F260" s="229">
        <v>0.33457500000000001</v>
      </c>
      <c r="G260" s="229">
        <v>0.64103699999999997</v>
      </c>
      <c r="H260" s="230">
        <f>Proj_Inputs!$B$44+(Proj_Inputs!$C$44-Proj_Inputs!$B$44)*B260</f>
        <v>8.324680000000001E-2</v>
      </c>
      <c r="I260" s="230">
        <f>Proj_Inputs!$B$45+(Proj_Inputs!$C$45-Proj_Inputs!$B$45)*C260</f>
        <v>-1.2094960000000002E-2</v>
      </c>
      <c r="J260" s="230">
        <f>Proj_Inputs!$B$46+(Proj_Inputs!$C$46-Proj_Inputs!$B$46)*D260</f>
        <v>-0.10231599999999999</v>
      </c>
      <c r="K260" s="230">
        <f>Proj_Inputs!$B$47+(Proj_Inputs!$C$47-Proj_Inputs!$B$47)*E260</f>
        <v>7.9294249999999997E-2</v>
      </c>
      <c r="L260" s="230">
        <f>Proj_Inputs!$B$46+(Proj_Inputs!$C$46-Proj_Inputs!$B$46)*F260</f>
        <v>-8.3084999999999992E-2</v>
      </c>
      <c r="M260" s="230">
        <f>Proj_Inputs!$B$47+(Proj_Inputs!$C$47-Proj_Inputs!$B$47)*G260</f>
        <v>0.11025924999999999</v>
      </c>
      <c r="N260" s="231">
        <f>(1+H260)*(Proj_Inputs!$B$20+J260)/Proj_Inputs!$B$20*((Proj_Inputs!$B$21+I260)*(1-Proj_Inputs!$B$24)*NPV_Pirelli!$B$47+NPV_Pirelli!$B$49)+(1+K260)*NPV_Pirelli!$B$48</f>
        <v>223.34418607506018</v>
      </c>
      <c r="O260" s="231">
        <f>(1+H260)*(Proj_Inputs!$C$20+L260)/Proj_Inputs!$C$20*((Proj_Inputs!$C$21+I260)*(1-Proj_Inputs!$C$24)*NPV_Hankook!$B$47+NPV_Hankook!$B$49)+(1+M260)*NPV_Hankook!$B$48</f>
        <v>-317.49418614391129</v>
      </c>
    </row>
    <row r="261" spans="1:15" x14ac:dyDescent="0.2">
      <c r="A261" s="228">
        <v>237</v>
      </c>
      <c r="B261" s="229">
        <v>0.59345999999999999</v>
      </c>
      <c r="C261" s="229">
        <v>0.21087500000000001</v>
      </c>
      <c r="D261" s="229">
        <v>0.65362200000000004</v>
      </c>
      <c r="E261" s="229">
        <v>0.830735</v>
      </c>
      <c r="F261" s="229">
        <v>0.88505100000000003</v>
      </c>
      <c r="G261" s="229">
        <v>0.98533700000000002</v>
      </c>
      <c r="H261" s="230">
        <f>Proj_Inputs!$B$44+(Proj_Inputs!$C$44-Proj_Inputs!$B$44)*B261</f>
        <v>1.8692E-2</v>
      </c>
      <c r="I261" s="230">
        <f>Proj_Inputs!$B$45+(Proj_Inputs!$C$45-Proj_Inputs!$B$45)*C261</f>
        <v>-2.3130000000000001E-2</v>
      </c>
      <c r="J261" s="230">
        <f>Proj_Inputs!$B$46+(Proj_Inputs!$C$46-Proj_Inputs!$B$46)*D261</f>
        <v>-1.9275599999999976E-2</v>
      </c>
      <c r="K261" s="230">
        <f>Proj_Inputs!$B$47+(Proj_Inputs!$C$47-Proj_Inputs!$B$47)*E261</f>
        <v>0.15768375000000001</v>
      </c>
      <c r="L261" s="230">
        <f>Proj_Inputs!$B$46+(Proj_Inputs!$C$46-Proj_Inputs!$B$46)*F261</f>
        <v>2.7010200000000012E-2</v>
      </c>
      <c r="M261" s="230">
        <f>Proj_Inputs!$B$47+(Proj_Inputs!$C$47-Proj_Inputs!$B$47)*G261</f>
        <v>0.19633424999999999</v>
      </c>
      <c r="N261" s="231">
        <f>(1+H261)*(Proj_Inputs!$B$20+J261)/Proj_Inputs!$B$20*((Proj_Inputs!$B$21+I261)*(1-Proj_Inputs!$B$24)*NPV_Pirelli!$B$47+NPV_Pirelli!$B$49)+(1+K261)*NPV_Pirelli!$B$48</f>
        <v>134.64112924375388</v>
      </c>
      <c r="O261" s="231">
        <f>(1+H261)*(Proj_Inputs!$C$20+L261)/Proj_Inputs!$C$20*((Proj_Inputs!$C$21+I261)*(1-Proj_Inputs!$C$24)*NPV_Hankook!$B$47+NPV_Hankook!$B$49)+(1+M261)*NPV_Hankook!$B$48</f>
        <v>-431.57279236947682</v>
      </c>
    </row>
    <row r="262" spans="1:15" x14ac:dyDescent="0.2">
      <c r="A262" s="228">
        <v>238</v>
      </c>
      <c r="B262" s="229">
        <v>0.63010600000000005</v>
      </c>
      <c r="C262" s="229">
        <v>0.10324999999999999</v>
      </c>
      <c r="D262" s="229">
        <v>0.54744300000000001</v>
      </c>
      <c r="E262" s="229">
        <v>0.533084</v>
      </c>
      <c r="F262" s="229">
        <v>0.61756200000000006</v>
      </c>
      <c r="G262" s="229">
        <v>0.73725799999999997</v>
      </c>
      <c r="H262" s="230">
        <f>Proj_Inputs!$B$44+(Proj_Inputs!$C$44-Proj_Inputs!$B$44)*B262</f>
        <v>2.6021200000000022E-2</v>
      </c>
      <c r="I262" s="230">
        <f>Proj_Inputs!$B$45+(Proj_Inputs!$C$45-Proj_Inputs!$B$45)*C262</f>
        <v>-3.1740000000000004E-2</v>
      </c>
      <c r="J262" s="230">
        <f>Proj_Inputs!$B$46+(Proj_Inputs!$C$46-Proj_Inputs!$B$46)*D262</f>
        <v>-4.0511399999999989E-2</v>
      </c>
      <c r="K262" s="230">
        <f>Proj_Inputs!$B$47+(Proj_Inputs!$C$47-Proj_Inputs!$B$47)*E262</f>
        <v>8.3270999999999998E-2</v>
      </c>
      <c r="L262" s="230">
        <f>Proj_Inputs!$B$46+(Proj_Inputs!$C$46-Proj_Inputs!$B$46)*F262</f>
        <v>-2.6487599999999972E-2</v>
      </c>
      <c r="M262" s="230">
        <f>Proj_Inputs!$B$47+(Proj_Inputs!$C$47-Proj_Inputs!$B$47)*G262</f>
        <v>0.1343145</v>
      </c>
      <c r="N262" s="231">
        <f>(1+H262)*(Proj_Inputs!$B$20+J262)/Proj_Inputs!$B$20*((Proj_Inputs!$B$21+I262)*(1-Proj_Inputs!$B$24)*NPV_Pirelli!$B$47+NPV_Pirelli!$B$49)+(1+K262)*NPV_Pirelli!$B$48</f>
        <v>123.21636638220343</v>
      </c>
      <c r="O262" s="231">
        <f>(1+H262)*(Proj_Inputs!$C$20+L262)/Proj_Inputs!$C$20*((Proj_Inputs!$C$21+I262)*(1-Proj_Inputs!$C$24)*NPV_Hankook!$B$47+NPV_Hankook!$B$49)+(1+M262)*NPV_Hankook!$B$48</f>
        <v>-467.08425981903065</v>
      </c>
    </row>
    <row r="263" spans="1:15" x14ac:dyDescent="0.2">
      <c r="A263" s="228">
        <v>239</v>
      </c>
      <c r="B263" s="229">
        <v>0.37560300000000002</v>
      </c>
      <c r="C263" s="229">
        <v>0.89250700000000005</v>
      </c>
      <c r="D263" s="229">
        <v>0.878243</v>
      </c>
      <c r="E263" s="229">
        <v>0.39057399999999998</v>
      </c>
      <c r="F263" s="229">
        <v>0.48320299999999999</v>
      </c>
      <c r="G263" s="229">
        <v>0.15174299999999999</v>
      </c>
      <c r="H263" s="230">
        <f>Proj_Inputs!$B$44+(Proj_Inputs!$C$44-Proj_Inputs!$B$44)*B263</f>
        <v>-2.4879399999999996E-2</v>
      </c>
      <c r="I263" s="230">
        <f>Proj_Inputs!$B$45+(Proj_Inputs!$C$45-Proj_Inputs!$B$45)*C263</f>
        <v>3.1400560000000001E-2</v>
      </c>
      <c r="J263" s="230">
        <f>Proj_Inputs!$B$46+(Proj_Inputs!$C$46-Proj_Inputs!$B$46)*D263</f>
        <v>2.5648600000000021E-2</v>
      </c>
      <c r="K263" s="230">
        <f>Proj_Inputs!$B$47+(Proj_Inputs!$C$47-Proj_Inputs!$B$47)*E263</f>
        <v>4.7643499999999991E-2</v>
      </c>
      <c r="L263" s="230">
        <f>Proj_Inputs!$B$46+(Proj_Inputs!$C$46-Proj_Inputs!$B$46)*F263</f>
        <v>-5.3359399999999987E-2</v>
      </c>
      <c r="M263" s="230">
        <f>Proj_Inputs!$B$47+(Proj_Inputs!$C$47-Proj_Inputs!$B$47)*G263</f>
        <v>-1.2064250000000006E-2</v>
      </c>
      <c r="N263" s="231">
        <f>(1+H263)*(Proj_Inputs!$B$20+J263)/Proj_Inputs!$B$20*((Proj_Inputs!$B$21+I263)*(1-Proj_Inputs!$B$24)*NPV_Pirelli!$B$47+NPV_Pirelli!$B$49)+(1+K263)*NPV_Pirelli!$B$48</f>
        <v>566.0497681033429</v>
      </c>
      <c r="O263" s="231">
        <f>(1+H263)*(Proj_Inputs!$C$20+L263)/Proj_Inputs!$C$20*((Proj_Inputs!$C$21+I263)*(1-Proj_Inputs!$C$24)*NPV_Hankook!$B$47+NPV_Hankook!$B$49)+(1+M263)*NPV_Hankook!$B$48</f>
        <v>32.915970446926849</v>
      </c>
    </row>
    <row r="264" spans="1:15" x14ac:dyDescent="0.2">
      <c r="A264" s="228">
        <v>240</v>
      </c>
      <c r="B264" s="229">
        <v>0.83433500000000005</v>
      </c>
      <c r="C264" s="229">
        <v>0.66254100000000005</v>
      </c>
      <c r="D264" s="229">
        <v>0.14927099999999999</v>
      </c>
      <c r="E264" s="229">
        <v>0.69868799999999998</v>
      </c>
      <c r="F264" s="229">
        <v>0.325623</v>
      </c>
      <c r="G264" s="229">
        <v>0.24476600000000001</v>
      </c>
      <c r="H264" s="230">
        <f>Proj_Inputs!$B$44+(Proj_Inputs!$C$44-Proj_Inputs!$B$44)*B264</f>
        <v>6.686700000000001E-2</v>
      </c>
      <c r="I264" s="230">
        <f>Proj_Inputs!$B$45+(Proj_Inputs!$C$45-Proj_Inputs!$B$45)*C264</f>
        <v>1.3003280000000006E-2</v>
      </c>
      <c r="J264" s="230">
        <f>Proj_Inputs!$B$46+(Proj_Inputs!$C$46-Proj_Inputs!$B$46)*D264</f>
        <v>-0.1201458</v>
      </c>
      <c r="K264" s="230">
        <f>Proj_Inputs!$B$47+(Proj_Inputs!$C$47-Proj_Inputs!$B$47)*E264</f>
        <v>0.12467199999999999</v>
      </c>
      <c r="L264" s="230">
        <f>Proj_Inputs!$B$46+(Proj_Inputs!$C$46-Proj_Inputs!$B$46)*F264</f>
        <v>-8.487539999999999E-2</v>
      </c>
      <c r="M264" s="230">
        <f>Proj_Inputs!$B$47+(Proj_Inputs!$C$47-Proj_Inputs!$B$47)*G264</f>
        <v>1.11915E-2</v>
      </c>
      <c r="N264" s="231">
        <f>(1+H264)*(Proj_Inputs!$B$20+J264)/Proj_Inputs!$B$20*((Proj_Inputs!$B$21+I264)*(1-Proj_Inputs!$B$24)*NPV_Pirelli!$B$47+NPV_Pirelli!$B$49)+(1+K264)*NPV_Pirelli!$B$48</f>
        <v>291.21155120163428</v>
      </c>
      <c r="O264" s="231">
        <f>(1+H264)*(Proj_Inputs!$C$20+L264)/Proj_Inputs!$C$20*((Proj_Inputs!$C$21+I264)*(1-Proj_Inputs!$C$24)*NPV_Hankook!$B$47+NPV_Hankook!$B$49)+(1+M264)*NPV_Hankook!$B$48</f>
        <v>-52.881155964264735</v>
      </c>
    </row>
    <row r="265" spans="1:15" x14ac:dyDescent="0.2">
      <c r="A265" s="228">
        <v>241</v>
      </c>
      <c r="B265" s="229">
        <v>0.51329899999999995</v>
      </c>
      <c r="C265" s="229">
        <v>0.35156799999999999</v>
      </c>
      <c r="D265" s="229">
        <v>0.91797799999999996</v>
      </c>
      <c r="E265" s="229">
        <v>0.34529599999999999</v>
      </c>
      <c r="F265" s="229">
        <v>0.84332799999999997</v>
      </c>
      <c r="G265" s="229">
        <v>0.71171200000000001</v>
      </c>
      <c r="H265" s="230">
        <f>Proj_Inputs!$B$44+(Proj_Inputs!$C$44-Proj_Inputs!$B$44)*B265</f>
        <v>2.65979999999999E-3</v>
      </c>
      <c r="I265" s="230">
        <f>Proj_Inputs!$B$45+(Proj_Inputs!$C$45-Proj_Inputs!$B$45)*C265</f>
        <v>-1.1874559999999999E-2</v>
      </c>
      <c r="J265" s="230">
        <f>Proj_Inputs!$B$46+(Proj_Inputs!$C$46-Proj_Inputs!$B$46)*D265</f>
        <v>3.3595600000000003E-2</v>
      </c>
      <c r="K265" s="230">
        <f>Proj_Inputs!$B$47+(Proj_Inputs!$C$47-Proj_Inputs!$B$47)*E265</f>
        <v>3.6323999999999995E-2</v>
      </c>
      <c r="L265" s="230">
        <f>Proj_Inputs!$B$46+(Proj_Inputs!$C$46-Proj_Inputs!$B$46)*F265</f>
        <v>1.8665600000000004E-2</v>
      </c>
      <c r="M265" s="230">
        <f>Proj_Inputs!$B$47+(Proj_Inputs!$C$47-Proj_Inputs!$B$47)*G265</f>
        <v>0.12792799999999999</v>
      </c>
      <c r="N265" s="231">
        <f>(1+H265)*(Proj_Inputs!$B$20+J265)/Proj_Inputs!$B$20*((Proj_Inputs!$B$21+I265)*(1-Proj_Inputs!$B$24)*NPV_Pirelli!$B$47+NPV_Pirelli!$B$49)+(1+K265)*NPV_Pirelli!$B$48</f>
        <v>348.13342186558589</v>
      </c>
      <c r="O265" s="231">
        <f>(1+H265)*(Proj_Inputs!$C$20+L265)/Proj_Inputs!$C$20*((Proj_Inputs!$C$21+I265)*(1-Proj_Inputs!$C$24)*NPV_Hankook!$B$47+NPV_Hankook!$B$49)+(1+M265)*NPV_Hankook!$B$48</f>
        <v>-296.66792001663316</v>
      </c>
    </row>
    <row r="266" spans="1:15" x14ac:dyDescent="0.2">
      <c r="A266" s="228">
        <v>242</v>
      </c>
      <c r="B266" s="229">
        <v>0.88081500000000001</v>
      </c>
      <c r="C266" s="229">
        <v>0.25129499999999999</v>
      </c>
      <c r="D266" s="229">
        <v>0.48872100000000002</v>
      </c>
      <c r="E266" s="229">
        <v>0.98658299999999999</v>
      </c>
      <c r="F266" s="229">
        <v>0.70770900000000003</v>
      </c>
      <c r="G266" s="229">
        <v>0.45362000000000002</v>
      </c>
      <c r="H266" s="230">
        <f>Proj_Inputs!$B$44+(Proj_Inputs!$C$44-Proj_Inputs!$B$44)*B266</f>
        <v>7.6163000000000008E-2</v>
      </c>
      <c r="I266" s="230">
        <f>Proj_Inputs!$B$45+(Proj_Inputs!$C$45-Proj_Inputs!$B$45)*C266</f>
        <v>-1.9896400000000002E-2</v>
      </c>
      <c r="J266" s="230">
        <f>Proj_Inputs!$B$46+(Proj_Inputs!$C$46-Proj_Inputs!$B$46)*D266</f>
        <v>-5.2255799999999991E-2</v>
      </c>
      <c r="K266" s="230">
        <f>Proj_Inputs!$B$47+(Proj_Inputs!$C$47-Proj_Inputs!$B$47)*E266</f>
        <v>0.19664575000000001</v>
      </c>
      <c r="L266" s="230">
        <f>Proj_Inputs!$B$46+(Proj_Inputs!$C$46-Proj_Inputs!$B$46)*F266</f>
        <v>-8.4581999999999713E-3</v>
      </c>
      <c r="M266" s="230">
        <f>Proj_Inputs!$B$47+(Proj_Inputs!$C$47-Proj_Inputs!$B$47)*G266</f>
        <v>6.3405000000000003E-2</v>
      </c>
      <c r="N266" s="231">
        <f>(1+H266)*(Proj_Inputs!$B$20+J266)/Proj_Inputs!$B$20*((Proj_Inputs!$B$21+I266)*(1-Proj_Inputs!$B$24)*NPV_Pirelli!$B$47+NPV_Pirelli!$B$49)+(1+K266)*NPV_Pirelli!$B$48</f>
        <v>141.85726278564437</v>
      </c>
      <c r="O266" s="231">
        <f>(1+H266)*(Proj_Inputs!$C$20+L266)/Proj_Inputs!$C$20*((Proj_Inputs!$C$21+I266)*(1-Proj_Inputs!$C$24)*NPV_Hankook!$B$47+NPV_Hankook!$B$49)+(1+M266)*NPV_Hankook!$B$48</f>
        <v>-237.95206417779002</v>
      </c>
    </row>
    <row r="267" spans="1:15" x14ac:dyDescent="0.2">
      <c r="A267" s="228">
        <v>243</v>
      </c>
      <c r="B267" s="229">
        <v>4.5116000000000003E-2</v>
      </c>
      <c r="C267" s="229">
        <v>0.66330199999999995</v>
      </c>
      <c r="D267" s="229">
        <v>0.54468300000000003</v>
      </c>
      <c r="E267" s="229">
        <v>0.28665299999999999</v>
      </c>
      <c r="F267" s="229">
        <v>0.62665400000000004</v>
      </c>
      <c r="G267" s="229">
        <v>0.72224699999999997</v>
      </c>
      <c r="H267" s="230">
        <f>Proj_Inputs!$B$44+(Proj_Inputs!$C$44-Proj_Inputs!$B$44)*B267</f>
        <v>-9.097680000000001E-2</v>
      </c>
      <c r="I267" s="230">
        <f>Proj_Inputs!$B$45+(Proj_Inputs!$C$45-Proj_Inputs!$B$45)*C267</f>
        <v>1.3064159999999998E-2</v>
      </c>
      <c r="J267" s="230">
        <f>Proj_Inputs!$B$46+(Proj_Inputs!$C$46-Proj_Inputs!$B$46)*D267</f>
        <v>-4.1063399999999986E-2</v>
      </c>
      <c r="K267" s="230">
        <f>Proj_Inputs!$B$47+(Proj_Inputs!$C$47-Proj_Inputs!$B$47)*E267</f>
        <v>2.1663249999999995E-2</v>
      </c>
      <c r="L267" s="230">
        <f>Proj_Inputs!$B$46+(Proj_Inputs!$C$46-Proj_Inputs!$B$46)*F267</f>
        <v>-2.4669199999999974E-2</v>
      </c>
      <c r="M267" s="230">
        <f>Proj_Inputs!$B$47+(Proj_Inputs!$C$47-Proj_Inputs!$B$47)*G267</f>
        <v>0.13056174999999998</v>
      </c>
      <c r="N267" s="231">
        <f>(1+H267)*(Proj_Inputs!$B$20+J267)/Proj_Inputs!$B$20*((Proj_Inputs!$B$21+I267)*(1-Proj_Inputs!$B$24)*NPV_Pirelli!$B$47+NPV_Pirelli!$B$49)+(1+K267)*NPV_Pirelli!$B$48</f>
        <v>300.25188111181092</v>
      </c>
      <c r="O267" s="231">
        <f>(1+H267)*(Proj_Inputs!$C$20+L267)/Proj_Inputs!$C$20*((Proj_Inputs!$C$21+I267)*(1-Proj_Inputs!$C$24)*NPV_Hankook!$B$47+NPV_Hankook!$B$49)+(1+M267)*NPV_Hankook!$B$48</f>
        <v>-286.88879844017333</v>
      </c>
    </row>
    <row r="268" spans="1:15" x14ac:dyDescent="0.2">
      <c r="A268" s="228">
        <v>244</v>
      </c>
      <c r="B268" s="229">
        <v>0.64145300000000005</v>
      </c>
      <c r="C268" s="229">
        <v>0.27729399999999998</v>
      </c>
      <c r="D268" s="229">
        <v>0.20494200000000001</v>
      </c>
      <c r="E268" s="229">
        <v>0.73972599999999999</v>
      </c>
      <c r="F268" s="229">
        <v>9.3710000000000009E-3</v>
      </c>
      <c r="G268" s="229">
        <v>6.0142000000000001E-2</v>
      </c>
      <c r="H268" s="230">
        <f>Proj_Inputs!$B$44+(Proj_Inputs!$C$44-Proj_Inputs!$B$44)*B268</f>
        <v>2.8290599999999999E-2</v>
      </c>
      <c r="I268" s="230">
        <f>Proj_Inputs!$B$45+(Proj_Inputs!$C$45-Proj_Inputs!$B$45)*C268</f>
        <v>-1.7816480000000003E-2</v>
      </c>
      <c r="J268" s="230">
        <f>Proj_Inputs!$B$46+(Proj_Inputs!$C$46-Proj_Inputs!$B$46)*D268</f>
        <v>-0.10901159999999999</v>
      </c>
      <c r="K268" s="230">
        <f>Proj_Inputs!$B$47+(Proj_Inputs!$C$47-Proj_Inputs!$B$47)*E268</f>
        <v>0.13493149999999998</v>
      </c>
      <c r="L268" s="230">
        <f>Proj_Inputs!$B$46+(Proj_Inputs!$C$46-Proj_Inputs!$B$46)*F268</f>
        <v>-0.1481258</v>
      </c>
      <c r="M268" s="230">
        <f>Proj_Inputs!$B$47+(Proj_Inputs!$C$47-Proj_Inputs!$B$47)*G268</f>
        <v>-3.4964500000000003E-2</v>
      </c>
      <c r="N268" s="231">
        <f>(1+H268)*(Proj_Inputs!$B$20+J268)/Proj_Inputs!$B$20*((Proj_Inputs!$B$21+I268)*(1-Proj_Inputs!$B$24)*NPV_Pirelli!$B$47+NPV_Pirelli!$B$49)+(1+K268)*NPV_Pirelli!$B$48</f>
        <v>84.438656905076755</v>
      </c>
      <c r="O268" s="231">
        <f>(1+H268)*(Proj_Inputs!$C$20+L268)/Proj_Inputs!$C$20*((Proj_Inputs!$C$21+I268)*(1-Proj_Inputs!$C$24)*NPV_Hankook!$B$47+NPV_Hankook!$B$49)+(1+M268)*NPV_Hankook!$B$48</f>
        <v>-305.27523345765246</v>
      </c>
    </row>
    <row r="269" spans="1:15" x14ac:dyDescent="0.2">
      <c r="A269" s="228">
        <v>245</v>
      </c>
      <c r="B269" s="229">
        <v>0.25942199999999999</v>
      </c>
      <c r="C269" s="229">
        <v>0.70500399999999996</v>
      </c>
      <c r="D269" s="229">
        <v>0.80272600000000005</v>
      </c>
      <c r="E269" s="229">
        <v>0.91127000000000002</v>
      </c>
      <c r="F269" s="229">
        <v>0.40413100000000002</v>
      </c>
      <c r="G269" s="229">
        <v>0.133825</v>
      </c>
      <c r="H269" s="230">
        <f>Proj_Inputs!$B$44+(Proj_Inputs!$C$44-Proj_Inputs!$B$44)*B269</f>
        <v>-4.8115600000000008E-2</v>
      </c>
      <c r="I269" s="230">
        <f>Proj_Inputs!$B$45+(Proj_Inputs!$C$45-Proj_Inputs!$B$45)*C269</f>
        <v>1.6400319999999996E-2</v>
      </c>
      <c r="J269" s="230">
        <f>Proj_Inputs!$B$46+(Proj_Inputs!$C$46-Proj_Inputs!$B$46)*D269</f>
        <v>1.0545200000000032E-2</v>
      </c>
      <c r="K269" s="230">
        <f>Proj_Inputs!$B$47+(Proj_Inputs!$C$47-Proj_Inputs!$B$47)*E269</f>
        <v>0.17781750000000002</v>
      </c>
      <c r="L269" s="230">
        <f>Proj_Inputs!$B$46+(Proj_Inputs!$C$46-Proj_Inputs!$B$46)*F269</f>
        <v>-6.917379999999998E-2</v>
      </c>
      <c r="M269" s="230">
        <f>Proj_Inputs!$B$47+(Proj_Inputs!$C$47-Proj_Inputs!$B$47)*G269</f>
        <v>-1.6543750000000003E-2</v>
      </c>
      <c r="N269" s="231">
        <f>(1+H269)*(Proj_Inputs!$B$20+J269)/Proj_Inputs!$B$20*((Proj_Inputs!$B$21+I269)*(1-Proj_Inputs!$B$24)*NPV_Pirelli!$B$47+NPV_Pirelli!$B$49)+(1+K269)*NPV_Pirelli!$B$48</f>
        <v>318.72314850103805</v>
      </c>
      <c r="O269" s="231">
        <f>(1+H269)*(Proj_Inputs!$C$20+L269)/Proj_Inputs!$C$20*((Proj_Inputs!$C$21+I269)*(1-Proj_Inputs!$C$24)*NPV_Hankook!$B$47+NPV_Hankook!$B$49)+(1+M269)*NPV_Hankook!$B$48</f>
        <v>-101.93141371969227</v>
      </c>
    </row>
    <row r="270" spans="1:15" x14ac:dyDescent="0.2">
      <c r="A270" s="228">
        <v>246</v>
      </c>
      <c r="B270" s="229">
        <v>0.69137700000000002</v>
      </c>
      <c r="C270" s="229">
        <v>0.49197600000000002</v>
      </c>
      <c r="D270" s="229">
        <v>0.75936499999999996</v>
      </c>
      <c r="E270" s="229">
        <v>0.55890899999999999</v>
      </c>
      <c r="F270" s="229">
        <v>0.64081600000000005</v>
      </c>
      <c r="G270" s="229">
        <v>0.35355300000000001</v>
      </c>
      <c r="H270" s="230">
        <f>Proj_Inputs!$B$44+(Proj_Inputs!$C$44-Proj_Inputs!$B$44)*B270</f>
        <v>3.8275400000000015E-2</v>
      </c>
      <c r="I270" s="230">
        <f>Proj_Inputs!$B$45+(Proj_Inputs!$C$45-Proj_Inputs!$B$45)*C270</f>
        <v>-6.4191999999999722E-4</v>
      </c>
      <c r="J270" s="230">
        <f>Proj_Inputs!$B$46+(Proj_Inputs!$C$46-Proj_Inputs!$B$46)*D270</f>
        <v>1.8730000000000135E-3</v>
      </c>
      <c r="K270" s="230">
        <f>Proj_Inputs!$B$47+(Proj_Inputs!$C$47-Proj_Inputs!$B$47)*E270</f>
        <v>8.9727249999999995E-2</v>
      </c>
      <c r="L270" s="230">
        <f>Proj_Inputs!$B$46+(Proj_Inputs!$C$46-Proj_Inputs!$B$46)*F270</f>
        <v>-2.183679999999999E-2</v>
      </c>
      <c r="M270" s="230">
        <f>Proj_Inputs!$B$47+(Proj_Inputs!$C$47-Proj_Inputs!$B$47)*G270</f>
        <v>3.8388249999999999E-2</v>
      </c>
      <c r="N270" s="231">
        <f>(1+H270)*(Proj_Inputs!$B$20+J270)/Proj_Inputs!$B$20*((Proj_Inputs!$B$21+I270)*(1-Proj_Inputs!$B$24)*NPV_Pirelli!$B$47+NPV_Pirelli!$B$49)+(1+K270)*NPV_Pirelli!$B$48</f>
        <v>378.72051242475982</v>
      </c>
      <c r="O270" s="231">
        <f>(1+H270)*(Proj_Inputs!$C$20+L270)/Proj_Inputs!$C$20*((Proj_Inputs!$C$21+I270)*(1-Proj_Inputs!$C$24)*NPV_Hankook!$B$47+NPV_Hankook!$B$49)+(1+M270)*NPV_Hankook!$B$48</f>
        <v>-124.80914844099971</v>
      </c>
    </row>
    <row r="271" spans="1:15" x14ac:dyDescent="0.2">
      <c r="A271" s="228">
        <v>247</v>
      </c>
      <c r="B271" s="229">
        <v>6.7755999999999997E-2</v>
      </c>
      <c r="C271" s="229">
        <v>0.536856</v>
      </c>
      <c r="D271" s="229">
        <v>5.9116000000000002E-2</v>
      </c>
      <c r="E271" s="229">
        <v>5.9648E-2</v>
      </c>
      <c r="F271" s="229">
        <v>0.59334399999999998</v>
      </c>
      <c r="G271" s="229">
        <v>0.34562199999999998</v>
      </c>
      <c r="H271" s="230">
        <f>Proj_Inputs!$B$44+(Proj_Inputs!$C$44-Proj_Inputs!$B$44)*B271</f>
        <v>-8.6448800000000006E-2</v>
      </c>
      <c r="I271" s="230">
        <f>Proj_Inputs!$B$45+(Proj_Inputs!$C$45-Proj_Inputs!$B$45)*C271</f>
        <v>2.9484800000000033E-3</v>
      </c>
      <c r="J271" s="230">
        <f>Proj_Inputs!$B$46+(Proj_Inputs!$C$46-Proj_Inputs!$B$46)*D271</f>
        <v>-0.13817679999999999</v>
      </c>
      <c r="K271" s="230">
        <f>Proj_Inputs!$B$47+(Proj_Inputs!$C$47-Proj_Inputs!$B$47)*E271</f>
        <v>-3.5088000000000001E-2</v>
      </c>
      <c r="L271" s="230">
        <f>Proj_Inputs!$B$46+(Proj_Inputs!$C$46-Proj_Inputs!$B$46)*F271</f>
        <v>-3.133119999999999E-2</v>
      </c>
      <c r="M271" s="230">
        <f>Proj_Inputs!$B$47+(Proj_Inputs!$C$47-Proj_Inputs!$B$47)*G271</f>
        <v>3.6405499999999993E-2</v>
      </c>
      <c r="N271" s="231">
        <f>(1+H271)*(Proj_Inputs!$B$20+J271)/Proj_Inputs!$B$20*((Proj_Inputs!$B$21+I271)*(1-Proj_Inputs!$B$24)*NPV_Pirelli!$B$47+NPV_Pirelli!$B$49)+(1+K271)*NPV_Pirelli!$B$48</f>
        <v>176.47513307122051</v>
      </c>
      <c r="O271" s="231">
        <f>(1+H271)*(Proj_Inputs!$C$20+L271)/Proj_Inputs!$C$20*((Proj_Inputs!$C$21+I271)*(1-Proj_Inputs!$C$24)*NPV_Hankook!$B$47+NPV_Hankook!$B$49)+(1+M271)*NPV_Hankook!$B$48</f>
        <v>-241.22602108710123</v>
      </c>
    </row>
    <row r="272" spans="1:15" x14ac:dyDescent="0.2">
      <c r="A272" s="228">
        <v>248</v>
      </c>
      <c r="B272" s="229">
        <v>7.5895000000000004E-2</v>
      </c>
      <c r="C272" s="229">
        <v>0.763212</v>
      </c>
      <c r="D272" s="229">
        <v>6.3108999999999998E-2</v>
      </c>
      <c r="E272" s="229">
        <v>0.56337800000000005</v>
      </c>
      <c r="F272" s="229">
        <v>0.39188600000000001</v>
      </c>
      <c r="G272" s="229">
        <v>0.66143799999999997</v>
      </c>
      <c r="H272" s="230">
        <f>Proj_Inputs!$B$44+(Proj_Inputs!$C$44-Proj_Inputs!$B$44)*B272</f>
        <v>-8.4821000000000008E-2</v>
      </c>
      <c r="I272" s="230">
        <f>Proj_Inputs!$B$45+(Proj_Inputs!$C$45-Proj_Inputs!$B$45)*C272</f>
        <v>2.105696E-2</v>
      </c>
      <c r="J272" s="230">
        <f>Proj_Inputs!$B$46+(Proj_Inputs!$C$46-Proj_Inputs!$B$46)*D272</f>
        <v>-0.13737820000000001</v>
      </c>
      <c r="K272" s="230">
        <f>Proj_Inputs!$B$47+(Proj_Inputs!$C$47-Proj_Inputs!$B$47)*E272</f>
        <v>9.0844500000000009E-2</v>
      </c>
      <c r="L272" s="230">
        <f>Proj_Inputs!$B$46+(Proj_Inputs!$C$46-Proj_Inputs!$B$46)*F272</f>
        <v>-7.1622799999999986E-2</v>
      </c>
      <c r="M272" s="230">
        <f>Proj_Inputs!$B$47+(Proj_Inputs!$C$47-Proj_Inputs!$B$47)*G272</f>
        <v>0.11535949999999999</v>
      </c>
      <c r="N272" s="231">
        <f>(1+H272)*(Proj_Inputs!$B$20+J272)/Proj_Inputs!$B$20*((Proj_Inputs!$B$21+I272)*(1-Proj_Inputs!$B$24)*NPV_Pirelli!$B$47+NPV_Pirelli!$B$49)+(1+K272)*NPV_Pirelli!$B$48</f>
        <v>166.72192687493896</v>
      </c>
      <c r="O272" s="231">
        <f>(1+H272)*(Proj_Inputs!$C$20+L272)/Proj_Inputs!$C$20*((Proj_Inputs!$C$21+I272)*(1-Proj_Inputs!$C$24)*NPV_Hankook!$B$47+NPV_Hankook!$B$49)+(1+M272)*NPV_Hankook!$B$48</f>
        <v>-271.63249275034991</v>
      </c>
    </row>
    <row r="273" spans="1:15" x14ac:dyDescent="0.2">
      <c r="A273" s="228">
        <v>249</v>
      </c>
      <c r="B273" s="229">
        <v>0.25223099999999998</v>
      </c>
      <c r="C273" s="229">
        <v>0.14327000000000001</v>
      </c>
      <c r="D273" s="229">
        <v>0.24572099999999999</v>
      </c>
      <c r="E273" s="229">
        <v>0.77872799999999998</v>
      </c>
      <c r="F273" s="229">
        <v>0.53837599999999997</v>
      </c>
      <c r="G273" s="229">
        <v>0.32277699999999998</v>
      </c>
      <c r="H273" s="230">
        <f>Proj_Inputs!$B$44+(Proj_Inputs!$C$44-Proj_Inputs!$B$44)*B273</f>
        <v>-4.9553800000000009E-2</v>
      </c>
      <c r="I273" s="230">
        <f>Proj_Inputs!$B$45+(Proj_Inputs!$C$45-Proj_Inputs!$B$45)*C273</f>
        <v>-2.8538399999999998E-2</v>
      </c>
      <c r="J273" s="230">
        <f>Proj_Inputs!$B$46+(Proj_Inputs!$C$46-Proj_Inputs!$B$46)*D273</f>
        <v>-0.1008558</v>
      </c>
      <c r="K273" s="230">
        <f>Proj_Inputs!$B$47+(Proj_Inputs!$C$47-Proj_Inputs!$B$47)*E273</f>
        <v>0.14468199999999998</v>
      </c>
      <c r="L273" s="230">
        <f>Proj_Inputs!$B$46+(Proj_Inputs!$C$46-Proj_Inputs!$B$46)*F273</f>
        <v>-4.2324799999999996E-2</v>
      </c>
      <c r="M273" s="230">
        <f>Proj_Inputs!$B$47+(Proj_Inputs!$C$47-Proj_Inputs!$B$47)*G273</f>
        <v>3.0694249999999992E-2</v>
      </c>
      <c r="N273" s="231">
        <f>(1+H273)*(Proj_Inputs!$B$20+J273)/Proj_Inputs!$B$20*((Proj_Inputs!$B$21+I273)*(1-Proj_Inputs!$B$24)*NPV_Pirelli!$B$47+NPV_Pirelli!$B$49)+(1+K273)*NPV_Pirelli!$B$48</f>
        <v>-44.017980641560143</v>
      </c>
      <c r="O273" s="231">
        <f>(1+H273)*(Proj_Inputs!$C$20+L273)/Proj_Inputs!$C$20*((Proj_Inputs!$C$21+I273)*(1-Proj_Inputs!$C$24)*NPV_Hankook!$B$47+NPV_Hankook!$B$49)+(1+M273)*NPV_Hankook!$B$48</f>
        <v>-403.77785927043396</v>
      </c>
    </row>
    <row r="274" spans="1:15" x14ac:dyDescent="0.2">
      <c r="A274" s="228">
        <v>250</v>
      </c>
      <c r="B274" s="229">
        <v>0.81757199999999997</v>
      </c>
      <c r="C274" s="229">
        <v>0.92172500000000002</v>
      </c>
      <c r="D274" s="229">
        <v>0.43292900000000001</v>
      </c>
      <c r="E274" s="229">
        <v>0.68639499999999998</v>
      </c>
      <c r="F274" s="229">
        <v>0.77611200000000002</v>
      </c>
      <c r="G274" s="229">
        <v>7.8636999999999999E-2</v>
      </c>
      <c r="H274" s="230">
        <f>Proj_Inputs!$B$44+(Proj_Inputs!$C$44-Proj_Inputs!$B$44)*B274</f>
        <v>6.3514399999999999E-2</v>
      </c>
      <c r="I274" s="230">
        <f>Proj_Inputs!$B$45+(Proj_Inputs!$C$45-Proj_Inputs!$B$45)*C274</f>
        <v>3.3737999999999997E-2</v>
      </c>
      <c r="J274" s="230">
        <f>Proj_Inputs!$B$46+(Proj_Inputs!$C$46-Proj_Inputs!$B$46)*D274</f>
        <v>-6.341419999999999E-2</v>
      </c>
      <c r="K274" s="230">
        <f>Proj_Inputs!$B$47+(Proj_Inputs!$C$47-Proj_Inputs!$B$47)*E274</f>
        <v>0.12159874999999999</v>
      </c>
      <c r="L274" s="230">
        <f>Proj_Inputs!$B$46+(Proj_Inputs!$C$46-Proj_Inputs!$B$46)*F274</f>
        <v>5.2224000000000159E-3</v>
      </c>
      <c r="M274" s="230">
        <f>Proj_Inputs!$B$47+(Proj_Inputs!$C$47-Proj_Inputs!$B$47)*G274</f>
        <v>-3.0340750000000003E-2</v>
      </c>
      <c r="N274" s="231">
        <f>(1+H274)*(Proj_Inputs!$B$20+J274)/Proj_Inputs!$B$20*((Proj_Inputs!$B$21+I274)*(1-Proj_Inputs!$B$24)*NPV_Pirelli!$B$47+NPV_Pirelli!$B$49)+(1+K274)*NPV_Pirelli!$B$48</f>
        <v>502.15152867813151</v>
      </c>
      <c r="O274" s="231">
        <f>(1+H274)*(Proj_Inputs!$C$20+L274)/Proj_Inputs!$C$20*((Proj_Inputs!$C$21+I274)*(1-Proj_Inputs!$C$24)*NPV_Hankook!$B$47+NPV_Hankook!$B$49)+(1+M274)*NPV_Hankook!$B$48</f>
        <v>267.69116914855795</v>
      </c>
    </row>
    <row r="275" spans="1:15" x14ac:dyDescent="0.2">
      <c r="A275" s="228">
        <v>251</v>
      </c>
      <c r="B275" s="229">
        <v>0.25684699999999999</v>
      </c>
      <c r="C275" s="229">
        <v>0.86759200000000003</v>
      </c>
      <c r="D275" s="229">
        <v>0.88681699999999997</v>
      </c>
      <c r="E275" s="229">
        <v>0.45638299999999998</v>
      </c>
      <c r="F275" s="229">
        <v>0.18724399999999999</v>
      </c>
      <c r="G275" s="229">
        <v>0.116229</v>
      </c>
      <c r="H275" s="230">
        <f>Proj_Inputs!$B$44+(Proj_Inputs!$C$44-Proj_Inputs!$B$44)*B275</f>
        <v>-4.8630600000000003E-2</v>
      </c>
      <c r="I275" s="230">
        <f>Proj_Inputs!$B$45+(Proj_Inputs!$C$45-Proj_Inputs!$B$45)*C275</f>
        <v>2.940736E-2</v>
      </c>
      <c r="J275" s="230">
        <f>Proj_Inputs!$B$46+(Proj_Inputs!$C$46-Proj_Inputs!$B$46)*D275</f>
        <v>2.736340000000001E-2</v>
      </c>
      <c r="K275" s="230">
        <f>Proj_Inputs!$B$47+(Proj_Inputs!$C$47-Proj_Inputs!$B$47)*E275</f>
        <v>6.4095749999999993E-2</v>
      </c>
      <c r="L275" s="230">
        <f>Proj_Inputs!$B$46+(Proj_Inputs!$C$46-Proj_Inputs!$B$46)*F275</f>
        <v>-0.11255119999999999</v>
      </c>
      <c r="M275" s="230">
        <f>Proj_Inputs!$B$47+(Proj_Inputs!$C$47-Proj_Inputs!$B$47)*G275</f>
        <v>-2.0942750000000003E-2</v>
      </c>
      <c r="N275" s="231">
        <f>(1+H275)*(Proj_Inputs!$B$20+J275)/Proj_Inputs!$B$20*((Proj_Inputs!$B$21+I275)*(1-Proj_Inputs!$B$24)*NPV_Pirelli!$B$47+NPV_Pirelli!$B$49)+(1+K275)*NPV_Pirelli!$B$48</f>
        <v>509.60398694067896</v>
      </c>
      <c r="O275" s="231">
        <f>(1+H275)*(Proj_Inputs!$C$20+L275)/Proj_Inputs!$C$20*((Proj_Inputs!$C$21+I275)*(1-Proj_Inputs!$C$24)*NPV_Hankook!$B$47+NPV_Hankook!$B$49)+(1+M275)*NPV_Hankook!$B$48</f>
        <v>-77.558767468487986</v>
      </c>
    </row>
    <row r="276" spans="1:15" x14ac:dyDescent="0.2">
      <c r="A276" s="228">
        <v>252</v>
      </c>
      <c r="B276" s="229">
        <v>0.39482299999999998</v>
      </c>
      <c r="C276" s="229">
        <v>7.0829000000000003E-2</v>
      </c>
      <c r="D276" s="229">
        <v>0.58877000000000002</v>
      </c>
      <c r="E276" s="229">
        <v>0.57085399999999997</v>
      </c>
      <c r="F276" s="229">
        <v>0.26960600000000001</v>
      </c>
      <c r="G276" s="229">
        <v>0.16316</v>
      </c>
      <c r="H276" s="230">
        <f>Proj_Inputs!$B$44+(Proj_Inputs!$C$44-Proj_Inputs!$B$44)*B276</f>
        <v>-2.103540000000001E-2</v>
      </c>
      <c r="I276" s="230">
        <f>Proj_Inputs!$B$45+(Proj_Inputs!$C$45-Proj_Inputs!$B$45)*C276</f>
        <v>-3.4333679999999998E-2</v>
      </c>
      <c r="J276" s="230">
        <f>Proj_Inputs!$B$46+(Proj_Inputs!$C$46-Proj_Inputs!$B$46)*D276</f>
        <v>-3.2245999999999983E-2</v>
      </c>
      <c r="K276" s="230">
        <f>Proj_Inputs!$B$47+(Proj_Inputs!$C$47-Proj_Inputs!$B$47)*E276</f>
        <v>9.271349999999999E-2</v>
      </c>
      <c r="L276" s="230">
        <f>Proj_Inputs!$B$46+(Proj_Inputs!$C$46-Proj_Inputs!$B$46)*F276</f>
        <v>-9.6078799999999992E-2</v>
      </c>
      <c r="M276" s="230">
        <f>Proj_Inputs!$B$47+(Proj_Inputs!$C$47-Proj_Inputs!$B$47)*G276</f>
        <v>-9.2100000000000029E-3</v>
      </c>
      <c r="N276" s="231">
        <f>(1+H276)*(Proj_Inputs!$B$20+J276)/Proj_Inputs!$B$20*((Proj_Inputs!$B$21+I276)*(1-Proj_Inputs!$B$24)*NPV_Pirelli!$B$47+NPV_Pirelli!$B$49)+(1+K276)*NPV_Pirelli!$B$48</f>
        <v>64.776162112168436</v>
      </c>
      <c r="O276" s="231">
        <f>(1+H276)*(Proj_Inputs!$C$20+L276)/Proj_Inputs!$C$20*((Proj_Inputs!$C$21+I276)*(1-Proj_Inputs!$C$24)*NPV_Hankook!$B$47+NPV_Hankook!$B$49)+(1+M276)*NPV_Hankook!$B$48</f>
        <v>-419.56181283773094</v>
      </c>
    </row>
    <row r="277" spans="1:15" x14ac:dyDescent="0.2">
      <c r="A277" s="228">
        <v>253</v>
      </c>
      <c r="B277" s="229">
        <v>0.79496999999999995</v>
      </c>
      <c r="C277" s="229">
        <v>0.39274500000000001</v>
      </c>
      <c r="D277" s="229">
        <v>4.0071000000000002E-2</v>
      </c>
      <c r="E277" s="229">
        <v>0.45971800000000002</v>
      </c>
      <c r="F277" s="229">
        <v>9.9016000000000007E-2</v>
      </c>
      <c r="G277" s="229">
        <v>0.87186600000000003</v>
      </c>
      <c r="H277" s="230">
        <f>Proj_Inputs!$B$44+(Proj_Inputs!$C$44-Proj_Inputs!$B$44)*B277</f>
        <v>5.8993999999999991E-2</v>
      </c>
      <c r="I277" s="230">
        <f>Proj_Inputs!$B$45+(Proj_Inputs!$C$45-Proj_Inputs!$B$45)*C277</f>
        <v>-8.5804000000000019E-3</v>
      </c>
      <c r="J277" s="230">
        <f>Proj_Inputs!$B$46+(Proj_Inputs!$C$46-Proj_Inputs!$B$46)*D277</f>
        <v>-0.1419858</v>
      </c>
      <c r="K277" s="230">
        <f>Proj_Inputs!$B$47+(Proj_Inputs!$C$47-Proj_Inputs!$B$47)*E277</f>
        <v>6.4929500000000001E-2</v>
      </c>
      <c r="L277" s="230">
        <f>Proj_Inputs!$B$46+(Proj_Inputs!$C$46-Proj_Inputs!$B$46)*F277</f>
        <v>-0.1301968</v>
      </c>
      <c r="M277" s="230">
        <f>Proj_Inputs!$B$47+(Proj_Inputs!$C$47-Proj_Inputs!$B$47)*G277</f>
        <v>0.16796650000000002</v>
      </c>
      <c r="N277" s="231">
        <f>(1+H277)*(Proj_Inputs!$B$20+J277)/Proj_Inputs!$B$20*((Proj_Inputs!$B$21+I277)*(1-Proj_Inputs!$B$24)*NPV_Pirelli!$B$47+NPV_Pirelli!$B$49)+(1+K277)*NPV_Pirelli!$B$48</f>
        <v>177.78478514031735</v>
      </c>
      <c r="O277" s="231">
        <f>(1+H277)*(Proj_Inputs!$C$20+L277)/Proj_Inputs!$C$20*((Proj_Inputs!$C$21+I277)*(1-Proj_Inputs!$C$24)*NPV_Hankook!$B$47+NPV_Hankook!$B$49)+(1+M277)*NPV_Hankook!$B$48</f>
        <v>-439.53490499498332</v>
      </c>
    </row>
    <row r="278" spans="1:15" x14ac:dyDescent="0.2">
      <c r="A278" s="228">
        <v>254</v>
      </c>
      <c r="B278" s="229">
        <v>0.68461700000000003</v>
      </c>
      <c r="C278" s="229">
        <v>0.62613300000000005</v>
      </c>
      <c r="D278" s="229">
        <v>0.41224</v>
      </c>
      <c r="E278" s="229">
        <v>0.69377999999999995</v>
      </c>
      <c r="F278" s="229">
        <v>0.93210099999999996</v>
      </c>
      <c r="G278" s="229">
        <v>0.69533599999999995</v>
      </c>
      <c r="H278" s="230">
        <f>Proj_Inputs!$B$44+(Proj_Inputs!$C$44-Proj_Inputs!$B$44)*B278</f>
        <v>3.6923399999999995E-2</v>
      </c>
      <c r="I278" s="230">
        <f>Proj_Inputs!$B$45+(Proj_Inputs!$C$45-Proj_Inputs!$B$45)*C278</f>
        <v>1.0090640000000005E-2</v>
      </c>
      <c r="J278" s="230">
        <f>Proj_Inputs!$B$46+(Proj_Inputs!$C$46-Proj_Inputs!$B$46)*D278</f>
        <v>-6.7551999999999987E-2</v>
      </c>
      <c r="K278" s="230">
        <f>Proj_Inputs!$B$47+(Proj_Inputs!$C$47-Proj_Inputs!$B$47)*E278</f>
        <v>0.12344499999999999</v>
      </c>
      <c r="L278" s="230">
        <f>Proj_Inputs!$B$46+(Proj_Inputs!$C$46-Proj_Inputs!$B$46)*F278</f>
        <v>3.6420200000000014E-2</v>
      </c>
      <c r="M278" s="230">
        <f>Proj_Inputs!$B$47+(Proj_Inputs!$C$47-Proj_Inputs!$B$47)*G278</f>
        <v>0.12383399999999999</v>
      </c>
      <c r="N278" s="231">
        <f>(1+H278)*(Proj_Inputs!$B$20+J278)/Proj_Inputs!$B$20*((Proj_Inputs!$B$21+I278)*(1-Proj_Inputs!$B$24)*NPV_Pirelli!$B$47+NPV_Pirelli!$B$49)+(1+K278)*NPV_Pirelli!$B$48</f>
        <v>319.0444374068411</v>
      </c>
      <c r="O278" s="231">
        <f>(1+H278)*(Proj_Inputs!$C$20+L278)/Proj_Inputs!$C$20*((Proj_Inputs!$C$21+I278)*(1-Proj_Inputs!$C$24)*NPV_Hankook!$B$47+NPV_Hankook!$B$49)+(1+M278)*NPV_Hankook!$B$48</f>
        <v>-74.502469103113754</v>
      </c>
    </row>
    <row r="279" spans="1:15" x14ac:dyDescent="0.2">
      <c r="A279" s="228">
        <v>255</v>
      </c>
      <c r="B279" s="229">
        <v>0.28117700000000001</v>
      </c>
      <c r="C279" s="229">
        <v>0.20344000000000001</v>
      </c>
      <c r="D279" s="229">
        <v>0.71395299999999995</v>
      </c>
      <c r="E279" s="229">
        <v>0.94948699999999997</v>
      </c>
      <c r="F279" s="229">
        <v>0.54067699999999996</v>
      </c>
      <c r="G279" s="229">
        <v>0.37975300000000001</v>
      </c>
      <c r="H279" s="230">
        <f>Proj_Inputs!$B$44+(Proj_Inputs!$C$44-Proj_Inputs!$B$44)*B279</f>
        <v>-4.3764600000000001E-2</v>
      </c>
      <c r="I279" s="230">
        <f>Proj_Inputs!$B$45+(Proj_Inputs!$C$45-Proj_Inputs!$B$45)*C279</f>
        <v>-2.3724800000000001E-2</v>
      </c>
      <c r="J279" s="230">
        <f>Proj_Inputs!$B$46+(Proj_Inputs!$C$46-Proj_Inputs!$B$46)*D279</f>
        <v>-7.2094000000000047E-3</v>
      </c>
      <c r="K279" s="230">
        <f>Proj_Inputs!$B$47+(Proj_Inputs!$C$47-Proj_Inputs!$B$47)*E279</f>
        <v>0.18737175</v>
      </c>
      <c r="L279" s="230">
        <f>Proj_Inputs!$B$46+(Proj_Inputs!$C$46-Proj_Inputs!$B$46)*F279</f>
        <v>-4.1864600000000002E-2</v>
      </c>
      <c r="M279" s="230">
        <f>Proj_Inputs!$B$47+(Proj_Inputs!$C$47-Proj_Inputs!$B$47)*G279</f>
        <v>4.4938249999999999E-2</v>
      </c>
      <c r="N279" s="231">
        <f>(1+H279)*(Proj_Inputs!$B$20+J279)/Proj_Inputs!$B$20*((Proj_Inputs!$B$21+I279)*(1-Proj_Inputs!$B$24)*NPV_Pirelli!$B$47+NPV_Pirelli!$B$49)+(1+K279)*NPV_Pirelli!$B$48</f>
        <v>57.004380656842613</v>
      </c>
      <c r="O279" s="231">
        <f>(1+H279)*(Proj_Inputs!$C$20+L279)/Proj_Inputs!$C$20*((Proj_Inputs!$C$21+I279)*(1-Proj_Inputs!$C$24)*NPV_Hankook!$B$47+NPV_Hankook!$B$49)+(1+M279)*NPV_Hankook!$B$48</f>
        <v>-384.99751896400221</v>
      </c>
    </row>
    <row r="280" spans="1:15" x14ac:dyDescent="0.2">
      <c r="A280" s="228">
        <v>256</v>
      </c>
      <c r="B280" s="229">
        <v>0.26335199999999997</v>
      </c>
      <c r="C280" s="229">
        <v>0.44267200000000001</v>
      </c>
      <c r="D280" s="229">
        <v>0.80066599999999999</v>
      </c>
      <c r="E280" s="229">
        <v>0.80438399999999999</v>
      </c>
      <c r="F280" s="229">
        <v>0.78548399999999996</v>
      </c>
      <c r="G280" s="229">
        <v>0.46468700000000002</v>
      </c>
      <c r="H280" s="230">
        <f>Proj_Inputs!$B$44+(Proj_Inputs!$C$44-Proj_Inputs!$B$44)*B280</f>
        <v>-4.7329600000000006E-2</v>
      </c>
      <c r="I280" s="230">
        <f>Proj_Inputs!$B$45+(Proj_Inputs!$C$45-Proj_Inputs!$B$45)*C280</f>
        <v>-4.5862399999999984E-3</v>
      </c>
      <c r="J280" s="230">
        <f>Proj_Inputs!$B$46+(Proj_Inputs!$C$46-Proj_Inputs!$B$46)*D280</f>
        <v>1.0133200000000009E-2</v>
      </c>
      <c r="K280" s="230">
        <f>Proj_Inputs!$B$47+(Proj_Inputs!$C$47-Proj_Inputs!$B$47)*E280</f>
        <v>0.15109600000000001</v>
      </c>
      <c r="L280" s="230">
        <f>Proj_Inputs!$B$46+(Proj_Inputs!$C$46-Proj_Inputs!$B$46)*F280</f>
        <v>7.0968000000000142E-3</v>
      </c>
      <c r="M280" s="230">
        <f>Proj_Inputs!$B$47+(Proj_Inputs!$C$47-Proj_Inputs!$B$47)*G280</f>
        <v>6.6171750000000001E-2</v>
      </c>
      <c r="N280" s="231">
        <f>(1+H280)*(Proj_Inputs!$B$20+J280)/Proj_Inputs!$B$20*((Proj_Inputs!$B$21+I280)*(1-Proj_Inputs!$B$24)*NPV_Pirelli!$B$47+NPV_Pirelli!$B$49)+(1+K280)*NPV_Pirelli!$B$48</f>
        <v>215.17953199344981</v>
      </c>
      <c r="O280" s="231">
        <f>(1+H280)*(Proj_Inputs!$C$20+L280)/Proj_Inputs!$C$20*((Proj_Inputs!$C$21+I280)*(1-Proj_Inputs!$C$24)*NPV_Hankook!$B$47+NPV_Hankook!$B$49)+(1+M280)*NPV_Hankook!$B$48</f>
        <v>-239.64478430076474</v>
      </c>
    </row>
    <row r="281" spans="1:15" x14ac:dyDescent="0.2">
      <c r="A281" s="228">
        <v>257</v>
      </c>
      <c r="B281" s="229">
        <v>0.42627199999999998</v>
      </c>
      <c r="C281" s="229">
        <v>0.285885</v>
      </c>
      <c r="D281" s="229">
        <v>0.99459299999999995</v>
      </c>
      <c r="E281" s="229">
        <v>0.94696400000000003</v>
      </c>
      <c r="F281" s="229">
        <v>0.15226799999999999</v>
      </c>
      <c r="G281" s="229">
        <v>0.40223599999999998</v>
      </c>
      <c r="H281" s="230">
        <f>Proj_Inputs!$B$44+(Proj_Inputs!$C$44-Proj_Inputs!$B$44)*B281</f>
        <v>-1.4745599999999998E-2</v>
      </c>
      <c r="I281" s="230">
        <f>Proj_Inputs!$B$45+(Proj_Inputs!$C$45-Proj_Inputs!$B$45)*C281</f>
        <v>-1.7129200000000001E-2</v>
      </c>
      <c r="J281" s="230">
        <f>Proj_Inputs!$B$46+(Proj_Inputs!$C$46-Proj_Inputs!$B$46)*D281</f>
        <v>4.8918600000000007E-2</v>
      </c>
      <c r="K281" s="230">
        <f>Proj_Inputs!$B$47+(Proj_Inputs!$C$47-Proj_Inputs!$B$47)*E281</f>
        <v>0.18674099999999999</v>
      </c>
      <c r="L281" s="230">
        <f>Proj_Inputs!$B$46+(Proj_Inputs!$C$46-Proj_Inputs!$B$46)*F281</f>
        <v>-0.1195464</v>
      </c>
      <c r="M281" s="230">
        <f>Proj_Inputs!$B$47+(Proj_Inputs!$C$47-Proj_Inputs!$B$47)*G281</f>
        <v>5.0558999999999993E-2</v>
      </c>
      <c r="N281" s="231">
        <f>(1+H281)*(Proj_Inputs!$B$20+J281)/Proj_Inputs!$B$20*((Proj_Inputs!$B$21+I281)*(1-Proj_Inputs!$B$24)*NPV_Pirelli!$B$47+NPV_Pirelli!$B$49)+(1+K281)*NPV_Pirelli!$B$48</f>
        <v>194.35018594508745</v>
      </c>
      <c r="O281" s="231">
        <f>(1+H281)*(Proj_Inputs!$C$20+L281)/Proj_Inputs!$C$20*((Proj_Inputs!$C$21+I281)*(1-Proj_Inputs!$C$24)*NPV_Hankook!$B$47+NPV_Hankook!$B$49)+(1+M281)*NPV_Hankook!$B$48</f>
        <v>-405.18113887608604</v>
      </c>
    </row>
    <row r="282" spans="1:15" x14ac:dyDescent="0.2">
      <c r="A282" s="228">
        <v>258</v>
      </c>
      <c r="B282" s="229">
        <v>0.58582199999999995</v>
      </c>
      <c r="C282" s="229">
        <v>0.20688899999999999</v>
      </c>
      <c r="D282" s="229">
        <v>0.910605</v>
      </c>
      <c r="E282" s="229">
        <v>0.61853599999999997</v>
      </c>
      <c r="F282" s="229">
        <v>0.58399500000000004</v>
      </c>
      <c r="G282" s="229">
        <v>0.23983299999999999</v>
      </c>
      <c r="H282" s="230">
        <f>Proj_Inputs!$B$44+(Proj_Inputs!$C$44-Proj_Inputs!$B$44)*B282</f>
        <v>1.7164399999999996E-2</v>
      </c>
      <c r="I282" s="230">
        <f>Proj_Inputs!$B$45+(Proj_Inputs!$C$45-Proj_Inputs!$B$45)*C282</f>
        <v>-2.3448880000000002E-2</v>
      </c>
      <c r="J282" s="230">
        <f>Proj_Inputs!$B$46+(Proj_Inputs!$C$46-Proj_Inputs!$B$46)*D282</f>
        <v>3.2121000000000011E-2</v>
      </c>
      <c r="K282" s="230">
        <f>Proj_Inputs!$B$47+(Proj_Inputs!$C$47-Proj_Inputs!$B$47)*E282</f>
        <v>0.10463399999999999</v>
      </c>
      <c r="L282" s="230">
        <f>Proj_Inputs!$B$46+(Proj_Inputs!$C$46-Proj_Inputs!$B$46)*F282</f>
        <v>-3.3200999999999981E-2</v>
      </c>
      <c r="M282" s="230">
        <f>Proj_Inputs!$B$47+(Proj_Inputs!$C$47-Proj_Inputs!$B$47)*G282</f>
        <v>9.9582499999999949E-3</v>
      </c>
      <c r="N282" s="231">
        <f>(1+H282)*(Proj_Inputs!$B$20+J282)/Proj_Inputs!$B$20*((Proj_Inputs!$B$21+I282)*(1-Proj_Inputs!$B$24)*NPV_Pirelli!$B$47+NPV_Pirelli!$B$49)+(1+K282)*NPV_Pirelli!$B$48</f>
        <v>233.84003452600655</v>
      </c>
      <c r="O282" s="231">
        <f>(1+H282)*(Proj_Inputs!$C$20+L282)/Proj_Inputs!$C$20*((Proj_Inputs!$C$21+I282)*(1-Proj_Inputs!$C$24)*NPV_Hankook!$B$47+NPV_Hankook!$B$49)+(1+M282)*NPV_Hankook!$B$48</f>
        <v>-280.6098638727691</v>
      </c>
    </row>
    <row r="283" spans="1:15" x14ac:dyDescent="0.2">
      <c r="A283" s="228">
        <v>259</v>
      </c>
      <c r="B283" s="229">
        <v>0.21968499999999999</v>
      </c>
      <c r="C283" s="229">
        <v>0.75229199999999996</v>
      </c>
      <c r="D283" s="229">
        <v>8.072E-2</v>
      </c>
      <c r="E283" s="229">
        <v>0.732124</v>
      </c>
      <c r="F283" s="229">
        <v>0.73655899999999996</v>
      </c>
      <c r="G283" s="229">
        <v>0.40610800000000002</v>
      </c>
      <c r="H283" s="230">
        <f>Proj_Inputs!$B$44+(Proj_Inputs!$C$44-Proj_Inputs!$B$44)*B283</f>
        <v>-5.6063000000000002E-2</v>
      </c>
      <c r="I283" s="230">
        <f>Proj_Inputs!$B$45+(Proj_Inputs!$C$45-Proj_Inputs!$B$45)*C283</f>
        <v>2.0183359999999997E-2</v>
      </c>
      <c r="J283" s="230">
        <f>Proj_Inputs!$B$46+(Proj_Inputs!$C$46-Proj_Inputs!$B$46)*D283</f>
        <v>-0.133856</v>
      </c>
      <c r="K283" s="230">
        <f>Proj_Inputs!$B$47+(Proj_Inputs!$C$47-Proj_Inputs!$B$47)*E283</f>
        <v>0.13303100000000001</v>
      </c>
      <c r="L283" s="230">
        <f>Proj_Inputs!$B$46+(Proj_Inputs!$C$46-Proj_Inputs!$B$46)*F283</f>
        <v>-2.6882000000000017E-3</v>
      </c>
      <c r="M283" s="230">
        <f>Proj_Inputs!$B$47+(Proj_Inputs!$C$47-Proj_Inputs!$B$47)*G283</f>
        <v>5.1527000000000003E-2</v>
      </c>
      <c r="N283" s="231">
        <f>(1+H283)*(Proj_Inputs!$B$20+J283)/Proj_Inputs!$B$20*((Proj_Inputs!$B$21+I283)*(1-Proj_Inputs!$B$24)*NPV_Pirelli!$B$47+NPV_Pirelli!$B$49)+(1+K283)*NPV_Pirelli!$B$48</f>
        <v>166.27447428228845</v>
      </c>
      <c r="O283" s="231">
        <f>(1+H283)*(Proj_Inputs!$C$20+L283)/Proj_Inputs!$C$20*((Proj_Inputs!$C$21+I283)*(1-Proj_Inputs!$C$24)*NPV_Hankook!$B$47+NPV_Hankook!$B$49)+(1+M283)*NPV_Hankook!$B$48</f>
        <v>-82.72160282676964</v>
      </c>
    </row>
    <row r="284" spans="1:15" x14ac:dyDescent="0.2">
      <c r="A284" s="228">
        <v>260</v>
      </c>
      <c r="B284" s="229">
        <v>0.99604099999999995</v>
      </c>
      <c r="C284" s="229">
        <v>0.65912800000000005</v>
      </c>
      <c r="D284" s="229">
        <v>0.91341899999999998</v>
      </c>
      <c r="E284" s="229">
        <v>0.78537900000000005</v>
      </c>
      <c r="F284" s="229">
        <v>0.95537000000000005</v>
      </c>
      <c r="G284" s="229">
        <v>0.43836399999999998</v>
      </c>
      <c r="H284" s="230">
        <f>Proj_Inputs!$B$44+(Proj_Inputs!$C$44-Proj_Inputs!$B$44)*B284</f>
        <v>9.9208199999999996E-2</v>
      </c>
      <c r="I284" s="230">
        <f>Proj_Inputs!$B$45+(Proj_Inputs!$C$45-Proj_Inputs!$B$45)*C284</f>
        <v>1.2730240000000004E-2</v>
      </c>
      <c r="J284" s="230">
        <f>Proj_Inputs!$B$46+(Proj_Inputs!$C$46-Proj_Inputs!$B$46)*D284</f>
        <v>3.2683800000000013E-2</v>
      </c>
      <c r="K284" s="230">
        <f>Proj_Inputs!$B$47+(Proj_Inputs!$C$47-Proj_Inputs!$B$47)*E284</f>
        <v>0.14634475000000002</v>
      </c>
      <c r="L284" s="230">
        <f>Proj_Inputs!$B$46+(Proj_Inputs!$C$46-Proj_Inputs!$B$46)*F284</f>
        <v>4.1074000000000027E-2</v>
      </c>
      <c r="M284" s="230">
        <f>Proj_Inputs!$B$47+(Proj_Inputs!$C$47-Proj_Inputs!$B$47)*G284</f>
        <v>5.9590999999999991E-2</v>
      </c>
      <c r="N284" s="231">
        <f>(1+H284)*(Proj_Inputs!$B$20+J284)/Proj_Inputs!$B$20*((Proj_Inputs!$B$21+I284)*(1-Proj_Inputs!$B$24)*NPV_Pirelli!$B$47+NPV_Pirelli!$B$49)+(1+K284)*NPV_Pirelli!$B$48</f>
        <v>545.72921130410987</v>
      </c>
      <c r="O284" s="231">
        <f>(1+H284)*(Proj_Inputs!$C$20+L284)/Proj_Inputs!$C$20*((Proj_Inputs!$C$21+I284)*(1-Proj_Inputs!$C$24)*NPV_Hankook!$B$47+NPV_Hankook!$B$49)+(1+M284)*NPV_Hankook!$B$48</f>
        <v>101.57292276297699</v>
      </c>
    </row>
    <row r="285" spans="1:15" x14ac:dyDescent="0.2">
      <c r="A285" s="228">
        <v>261</v>
      </c>
      <c r="B285" s="229">
        <v>0.57232499999999997</v>
      </c>
      <c r="C285" s="229">
        <v>0.81828299999999998</v>
      </c>
      <c r="D285" s="229">
        <v>0.225492</v>
      </c>
      <c r="E285" s="229">
        <v>0.95842899999999998</v>
      </c>
      <c r="F285" s="229">
        <v>0.43878400000000001</v>
      </c>
      <c r="G285" s="229">
        <v>0.82900300000000005</v>
      </c>
      <c r="H285" s="230">
        <f>Proj_Inputs!$B$44+(Proj_Inputs!$C$44-Proj_Inputs!$B$44)*B285</f>
        <v>1.4464999999999992E-2</v>
      </c>
      <c r="I285" s="230">
        <f>Proj_Inputs!$B$45+(Proj_Inputs!$C$45-Proj_Inputs!$B$45)*C285</f>
        <v>2.5462640000000002E-2</v>
      </c>
      <c r="J285" s="230">
        <f>Proj_Inputs!$B$46+(Proj_Inputs!$C$46-Proj_Inputs!$B$46)*D285</f>
        <v>-0.10490159999999998</v>
      </c>
      <c r="K285" s="230">
        <f>Proj_Inputs!$B$47+(Proj_Inputs!$C$47-Proj_Inputs!$B$47)*E285</f>
        <v>0.18960725</v>
      </c>
      <c r="L285" s="230">
        <f>Proj_Inputs!$B$46+(Proj_Inputs!$C$46-Proj_Inputs!$B$46)*F285</f>
        <v>-6.2243199999999985E-2</v>
      </c>
      <c r="M285" s="230">
        <f>Proj_Inputs!$B$47+(Proj_Inputs!$C$47-Proj_Inputs!$B$47)*G285</f>
        <v>0.15725074999999999</v>
      </c>
      <c r="N285" s="231">
        <f>(1+H285)*(Proj_Inputs!$B$20+J285)/Proj_Inputs!$B$20*((Proj_Inputs!$B$21+I285)*(1-Proj_Inputs!$B$24)*NPV_Pirelli!$B$47+NPV_Pirelli!$B$49)+(1+K285)*NPV_Pirelli!$B$48</f>
        <v>273.13702561127377</v>
      </c>
      <c r="O285" s="231">
        <f>(1+H285)*(Proj_Inputs!$C$20+L285)/Proj_Inputs!$C$20*((Proj_Inputs!$C$21+I285)*(1-Proj_Inputs!$C$24)*NPV_Hankook!$B$47+NPV_Hankook!$B$49)+(1+M285)*NPV_Hankook!$B$48</f>
        <v>-167.68256384339384</v>
      </c>
    </row>
    <row r="286" spans="1:15" x14ac:dyDescent="0.2">
      <c r="A286" s="228">
        <v>262</v>
      </c>
      <c r="B286" s="229">
        <v>0.85814100000000004</v>
      </c>
      <c r="C286" s="229">
        <v>0.64586100000000002</v>
      </c>
      <c r="D286" s="229">
        <v>0.324826</v>
      </c>
      <c r="E286" s="229">
        <v>0.98611199999999999</v>
      </c>
      <c r="F286" s="229">
        <v>0.85848599999999997</v>
      </c>
      <c r="G286" s="229">
        <v>0.53342800000000001</v>
      </c>
      <c r="H286" s="230">
        <f>Proj_Inputs!$B$44+(Proj_Inputs!$C$44-Proj_Inputs!$B$44)*B286</f>
        <v>7.1628200000000003E-2</v>
      </c>
      <c r="I286" s="230">
        <f>Proj_Inputs!$B$45+(Proj_Inputs!$C$45-Proj_Inputs!$B$45)*C286</f>
        <v>1.166888E-2</v>
      </c>
      <c r="J286" s="230">
        <f>Proj_Inputs!$B$46+(Proj_Inputs!$C$46-Proj_Inputs!$B$46)*D286</f>
        <v>-8.5034799999999994E-2</v>
      </c>
      <c r="K286" s="230">
        <f>Proj_Inputs!$B$47+(Proj_Inputs!$C$47-Proj_Inputs!$B$47)*E286</f>
        <v>0.19652799999999998</v>
      </c>
      <c r="L286" s="230">
        <f>Proj_Inputs!$B$46+(Proj_Inputs!$C$46-Proj_Inputs!$B$46)*F286</f>
        <v>2.16972E-2</v>
      </c>
      <c r="M286" s="230">
        <f>Proj_Inputs!$B$47+(Proj_Inputs!$C$47-Proj_Inputs!$B$47)*G286</f>
        <v>8.3357000000000001E-2</v>
      </c>
      <c r="N286" s="231">
        <f>(1+H286)*(Proj_Inputs!$B$20+J286)/Proj_Inputs!$B$20*((Proj_Inputs!$B$21+I286)*(1-Proj_Inputs!$B$24)*NPV_Pirelli!$B$47+NPV_Pirelli!$B$49)+(1+K286)*NPV_Pirelli!$B$48</f>
        <v>285.07634716555992</v>
      </c>
      <c r="O286" s="231">
        <f>(1+H286)*(Proj_Inputs!$C$20+L286)/Proj_Inputs!$C$20*((Proj_Inputs!$C$21+I286)*(1-Proj_Inputs!$C$24)*NPV_Hankook!$B$47+NPV_Hankook!$B$49)+(1+M286)*NPV_Hankook!$B$48</f>
        <v>5.684886041392474</v>
      </c>
    </row>
    <row r="287" spans="1:15" x14ac:dyDescent="0.2">
      <c r="A287" s="228">
        <v>263</v>
      </c>
      <c r="B287" s="229">
        <v>6.8057000000000006E-2</v>
      </c>
      <c r="C287" s="229">
        <v>0.82973300000000005</v>
      </c>
      <c r="D287" s="229">
        <v>0.86951400000000001</v>
      </c>
      <c r="E287" s="229">
        <v>0.782829</v>
      </c>
      <c r="F287" s="229">
        <v>0.31738</v>
      </c>
      <c r="G287" s="229">
        <v>7.7475000000000002E-2</v>
      </c>
      <c r="H287" s="230">
        <f>Proj_Inputs!$B$44+(Proj_Inputs!$C$44-Proj_Inputs!$B$44)*B287</f>
        <v>-8.638860000000001E-2</v>
      </c>
      <c r="I287" s="230">
        <f>Proj_Inputs!$B$45+(Proj_Inputs!$C$45-Proj_Inputs!$B$45)*C287</f>
        <v>2.6378640000000002E-2</v>
      </c>
      <c r="J287" s="230">
        <f>Proj_Inputs!$B$46+(Proj_Inputs!$C$46-Proj_Inputs!$B$46)*D287</f>
        <v>2.390280000000003E-2</v>
      </c>
      <c r="K287" s="230">
        <f>Proj_Inputs!$B$47+(Proj_Inputs!$C$47-Proj_Inputs!$B$47)*E287</f>
        <v>0.14570725000000001</v>
      </c>
      <c r="L287" s="230">
        <f>Proj_Inputs!$B$46+(Proj_Inputs!$C$46-Proj_Inputs!$B$46)*F287</f>
        <v>-8.652399999999999E-2</v>
      </c>
      <c r="M287" s="230">
        <f>Proj_Inputs!$B$47+(Proj_Inputs!$C$47-Proj_Inputs!$B$47)*G287</f>
        <v>-3.0631250000000002E-2</v>
      </c>
      <c r="N287" s="231">
        <f>(1+H287)*(Proj_Inputs!$B$20+J287)/Proj_Inputs!$B$20*((Proj_Inputs!$B$21+I287)*(1-Proj_Inputs!$B$24)*NPV_Pirelli!$B$47+NPV_Pirelli!$B$49)+(1+K287)*NPV_Pirelli!$B$48</f>
        <v>369.34241456727216</v>
      </c>
      <c r="O287" s="231">
        <f>(1+H287)*(Proj_Inputs!$C$20+L287)/Proj_Inputs!$C$20*((Proj_Inputs!$C$21+I287)*(1-Proj_Inputs!$C$24)*NPV_Hankook!$B$47+NPV_Hankook!$B$49)+(1+M287)*NPV_Hankook!$B$48</f>
        <v>-91.86335414793939</v>
      </c>
    </row>
    <row r="288" spans="1:15" x14ac:dyDescent="0.2">
      <c r="A288" s="228">
        <v>264</v>
      </c>
      <c r="B288" s="229">
        <v>0.478439</v>
      </c>
      <c r="C288" s="229">
        <v>7.0695999999999995E-2</v>
      </c>
      <c r="D288" s="229">
        <v>0.35392099999999999</v>
      </c>
      <c r="E288" s="229">
        <v>0.39485599999999998</v>
      </c>
      <c r="F288" s="229">
        <v>0.37789899999999998</v>
      </c>
      <c r="G288" s="229">
        <v>0.95304199999999994</v>
      </c>
      <c r="H288" s="230">
        <f>Proj_Inputs!$B$44+(Proj_Inputs!$C$44-Proj_Inputs!$B$44)*B288</f>
        <v>-4.3122000000000021E-3</v>
      </c>
      <c r="I288" s="230">
        <f>Proj_Inputs!$B$45+(Proj_Inputs!$C$45-Proj_Inputs!$B$45)*C288</f>
        <v>-3.4344319999999998E-2</v>
      </c>
      <c r="J288" s="230">
        <f>Proj_Inputs!$B$46+(Proj_Inputs!$C$46-Proj_Inputs!$B$46)*D288</f>
        <v>-7.9215799999999989E-2</v>
      </c>
      <c r="K288" s="230">
        <f>Proj_Inputs!$B$47+(Proj_Inputs!$C$47-Proj_Inputs!$B$47)*E288</f>
        <v>4.8713999999999993E-2</v>
      </c>
      <c r="L288" s="230">
        <f>Proj_Inputs!$B$46+(Proj_Inputs!$C$46-Proj_Inputs!$B$46)*F288</f>
        <v>-7.4420199999999992E-2</v>
      </c>
      <c r="M288" s="230">
        <f>Proj_Inputs!$B$47+(Proj_Inputs!$C$47-Proj_Inputs!$B$47)*G288</f>
        <v>0.1882605</v>
      </c>
      <c r="N288" s="231">
        <f>(1+H288)*(Proj_Inputs!$B$20+J288)/Proj_Inputs!$B$20*((Proj_Inputs!$B$21+I288)*(1-Proj_Inputs!$B$24)*NPV_Pirelli!$B$47+NPV_Pirelli!$B$49)+(1+K288)*NPV_Pirelli!$B$48</f>
        <v>64.234832170915752</v>
      </c>
      <c r="O288" s="231">
        <f>(1+H288)*(Proj_Inputs!$C$20+L288)/Proj_Inputs!$C$20*((Proj_Inputs!$C$21+I288)*(1-Proj_Inputs!$C$24)*NPV_Hankook!$B$47+NPV_Hankook!$B$49)+(1+M288)*NPV_Hankook!$B$48</f>
        <v>-616.7391253170523</v>
      </c>
    </row>
    <row r="289" spans="1:15" x14ac:dyDescent="0.2">
      <c r="A289" s="228">
        <v>265</v>
      </c>
      <c r="B289" s="229">
        <v>0.48101899999999997</v>
      </c>
      <c r="C289" s="229">
        <v>0.98815200000000003</v>
      </c>
      <c r="D289" s="229">
        <v>0.33978700000000001</v>
      </c>
      <c r="E289" s="229">
        <v>0.11475200000000001</v>
      </c>
      <c r="F289" s="229">
        <v>0.99072000000000005</v>
      </c>
      <c r="G289" s="229">
        <v>0.13969500000000001</v>
      </c>
      <c r="H289" s="230">
        <f>Proj_Inputs!$B$44+(Proj_Inputs!$C$44-Proj_Inputs!$B$44)*B289</f>
        <v>-3.7961999999999996E-3</v>
      </c>
      <c r="I289" s="230">
        <f>Proj_Inputs!$B$45+(Proj_Inputs!$C$45-Proj_Inputs!$B$45)*C289</f>
        <v>3.9052160000000009E-2</v>
      </c>
      <c r="J289" s="230">
        <f>Proj_Inputs!$B$46+(Proj_Inputs!$C$46-Proj_Inputs!$B$46)*D289</f>
        <v>-8.2042599999999993E-2</v>
      </c>
      <c r="K289" s="230">
        <f>Proj_Inputs!$B$47+(Proj_Inputs!$C$47-Proj_Inputs!$B$47)*E289</f>
        <v>-2.1312000000000001E-2</v>
      </c>
      <c r="L289" s="230">
        <f>Proj_Inputs!$B$46+(Proj_Inputs!$C$46-Proj_Inputs!$B$46)*F289</f>
        <v>4.814400000000002E-2</v>
      </c>
      <c r="M289" s="230">
        <f>Proj_Inputs!$B$47+(Proj_Inputs!$C$47-Proj_Inputs!$B$47)*G289</f>
        <v>-1.5076249999999999E-2</v>
      </c>
      <c r="N289" s="231">
        <f>(1+H289)*(Proj_Inputs!$B$20+J289)/Proj_Inputs!$B$20*((Proj_Inputs!$B$21+I289)*(1-Proj_Inputs!$B$24)*NPV_Pirelli!$B$47+NPV_Pirelli!$B$49)+(1+K289)*NPV_Pirelli!$B$48</f>
        <v>527.91874463702061</v>
      </c>
      <c r="O289" s="231">
        <f>(1+H289)*(Proj_Inputs!$C$20+L289)/Proj_Inputs!$C$20*((Proj_Inputs!$C$21+I289)*(1-Proj_Inputs!$C$24)*NPV_Hankook!$B$47+NPV_Hankook!$B$49)+(1+M289)*NPV_Hankook!$B$48</f>
        <v>261.80975052352255</v>
      </c>
    </row>
    <row r="290" spans="1:15" x14ac:dyDescent="0.2">
      <c r="A290" s="228">
        <v>266</v>
      </c>
      <c r="B290" s="229">
        <v>0.63121899999999997</v>
      </c>
      <c r="C290" s="229">
        <v>0.17657100000000001</v>
      </c>
      <c r="D290" s="229">
        <v>0.38273400000000002</v>
      </c>
      <c r="E290" s="229">
        <v>0.35152499999999998</v>
      </c>
      <c r="F290" s="229">
        <v>0.909165</v>
      </c>
      <c r="G290" s="229">
        <v>0.35059899999999999</v>
      </c>
      <c r="H290" s="230">
        <f>Proj_Inputs!$B$44+(Proj_Inputs!$C$44-Proj_Inputs!$B$44)*B290</f>
        <v>2.6243799999999984E-2</v>
      </c>
      <c r="I290" s="230">
        <f>Proj_Inputs!$B$45+(Proj_Inputs!$C$45-Proj_Inputs!$B$45)*C290</f>
        <v>-2.5874319999999999E-2</v>
      </c>
      <c r="J290" s="230">
        <f>Proj_Inputs!$B$46+(Proj_Inputs!$C$46-Proj_Inputs!$B$46)*D290</f>
        <v>-7.3453199999999982E-2</v>
      </c>
      <c r="K290" s="230">
        <f>Proj_Inputs!$B$47+(Proj_Inputs!$C$47-Proj_Inputs!$B$47)*E290</f>
        <v>3.7881249999999991E-2</v>
      </c>
      <c r="L290" s="230">
        <f>Proj_Inputs!$B$46+(Proj_Inputs!$C$46-Proj_Inputs!$B$46)*F290</f>
        <v>3.1833000000000028E-2</v>
      </c>
      <c r="M290" s="230">
        <f>Proj_Inputs!$B$47+(Proj_Inputs!$C$47-Proj_Inputs!$B$47)*G290</f>
        <v>3.7649749999999996E-2</v>
      </c>
      <c r="N290" s="231">
        <f>(1+H290)*(Proj_Inputs!$B$20+J290)/Proj_Inputs!$B$20*((Proj_Inputs!$B$21+I290)*(1-Proj_Inputs!$B$24)*NPV_Pirelli!$B$47+NPV_Pirelli!$B$49)+(1+K290)*NPV_Pirelli!$B$48</f>
        <v>155.94864525475066</v>
      </c>
      <c r="O290" s="231">
        <f>(1+H290)*(Proj_Inputs!$C$20+L290)/Proj_Inputs!$C$20*((Proj_Inputs!$C$21+I290)*(1-Proj_Inputs!$C$24)*NPV_Hankook!$B$47+NPV_Hankook!$B$49)+(1+M290)*NPV_Hankook!$B$48</f>
        <v>-254.80771177660847</v>
      </c>
    </row>
    <row r="291" spans="1:15" x14ac:dyDescent="0.2">
      <c r="A291" s="228">
        <v>267</v>
      </c>
      <c r="B291" s="229">
        <v>0.82122300000000004</v>
      </c>
      <c r="C291" s="229">
        <v>0.60098300000000004</v>
      </c>
      <c r="D291" s="229">
        <v>0.443021</v>
      </c>
      <c r="E291" s="229">
        <v>0.51048000000000004</v>
      </c>
      <c r="F291" s="229">
        <v>0.16684199999999999</v>
      </c>
      <c r="G291" s="229">
        <v>0.37291999999999997</v>
      </c>
      <c r="H291" s="230">
        <f>Proj_Inputs!$B$44+(Proj_Inputs!$C$44-Proj_Inputs!$B$44)*B291</f>
        <v>6.4244600000000013E-2</v>
      </c>
      <c r="I291" s="230">
        <f>Proj_Inputs!$B$45+(Proj_Inputs!$C$45-Proj_Inputs!$B$45)*C291</f>
        <v>8.078640000000005E-3</v>
      </c>
      <c r="J291" s="230">
        <f>Proj_Inputs!$B$46+(Proj_Inputs!$C$46-Proj_Inputs!$B$46)*D291</f>
        <v>-6.1395799999999986E-2</v>
      </c>
      <c r="K291" s="230">
        <f>Proj_Inputs!$B$47+(Proj_Inputs!$C$47-Proj_Inputs!$B$47)*E291</f>
        <v>7.7620000000000008E-2</v>
      </c>
      <c r="L291" s="230">
        <f>Proj_Inputs!$B$46+(Proj_Inputs!$C$46-Proj_Inputs!$B$46)*F291</f>
        <v>-0.1166316</v>
      </c>
      <c r="M291" s="230">
        <f>Proj_Inputs!$B$47+(Proj_Inputs!$C$47-Proj_Inputs!$B$47)*G291</f>
        <v>4.3229999999999991E-2</v>
      </c>
      <c r="N291" s="231">
        <f>(1+H291)*(Proj_Inputs!$B$20+J291)/Proj_Inputs!$B$20*((Proj_Inputs!$B$21+I291)*(1-Proj_Inputs!$B$24)*NPV_Pirelli!$B$47+NPV_Pirelli!$B$49)+(1+K291)*NPV_Pirelli!$B$48</f>
        <v>383.71398417949274</v>
      </c>
      <c r="O291" s="231">
        <f>(1+H291)*(Proj_Inputs!$C$20+L291)/Proj_Inputs!$C$20*((Proj_Inputs!$C$21+I291)*(1-Proj_Inputs!$C$24)*NPV_Hankook!$B$47+NPV_Hankook!$B$49)+(1+M291)*NPV_Hankook!$B$48</f>
        <v>-167.83668270472731</v>
      </c>
    </row>
    <row r="292" spans="1:15" x14ac:dyDescent="0.2">
      <c r="A292" s="228">
        <v>268</v>
      </c>
      <c r="B292" s="229">
        <v>0.61349500000000001</v>
      </c>
      <c r="C292" s="229">
        <v>0.60095900000000002</v>
      </c>
      <c r="D292" s="229">
        <v>4.5880000000000001E-3</v>
      </c>
      <c r="E292" s="229">
        <v>5.4459E-2</v>
      </c>
      <c r="F292" s="229">
        <v>0.315446</v>
      </c>
      <c r="G292" s="229">
        <v>0.99977499999999997</v>
      </c>
      <c r="H292" s="230">
        <f>Proj_Inputs!$B$44+(Proj_Inputs!$C$44-Proj_Inputs!$B$44)*B292</f>
        <v>2.2698999999999997E-2</v>
      </c>
      <c r="I292" s="230">
        <f>Proj_Inputs!$B$45+(Proj_Inputs!$C$45-Proj_Inputs!$B$45)*C292</f>
        <v>8.0767200000000025E-3</v>
      </c>
      <c r="J292" s="230">
        <f>Proj_Inputs!$B$46+(Proj_Inputs!$C$46-Proj_Inputs!$B$46)*D292</f>
        <v>-0.1490824</v>
      </c>
      <c r="K292" s="230">
        <f>Proj_Inputs!$B$47+(Proj_Inputs!$C$47-Proj_Inputs!$B$47)*E292</f>
        <v>-3.6385250000000001E-2</v>
      </c>
      <c r="L292" s="230">
        <f>Proj_Inputs!$B$46+(Proj_Inputs!$C$46-Proj_Inputs!$B$46)*F292</f>
        <v>-8.6910799999999996E-2</v>
      </c>
      <c r="M292" s="230">
        <f>Proj_Inputs!$B$47+(Proj_Inputs!$C$47-Proj_Inputs!$B$47)*G292</f>
        <v>0.19994374999999998</v>
      </c>
      <c r="N292" s="231">
        <f>(1+H292)*(Proj_Inputs!$B$20+J292)/Proj_Inputs!$B$20*((Proj_Inputs!$B$21+I292)*(1-Proj_Inputs!$B$24)*NPV_Pirelli!$B$47+NPV_Pirelli!$B$49)+(1+K292)*NPV_Pirelli!$B$48</f>
        <v>301.51816123439994</v>
      </c>
      <c r="O292" s="231">
        <f>(1+H292)*(Proj_Inputs!$C$20+L292)/Proj_Inputs!$C$20*((Proj_Inputs!$C$21+I292)*(1-Proj_Inputs!$C$24)*NPV_Hankook!$B$47+NPV_Hankook!$B$49)+(1+M292)*NPV_Hankook!$B$48</f>
        <v>-352.85205449712703</v>
      </c>
    </row>
    <row r="293" spans="1:15" x14ac:dyDescent="0.2">
      <c r="A293" s="228">
        <v>269</v>
      </c>
      <c r="B293" s="229">
        <v>0.78551700000000002</v>
      </c>
      <c r="C293" s="229">
        <v>0.97562499999999996</v>
      </c>
      <c r="D293" s="229">
        <v>0.48767300000000002</v>
      </c>
      <c r="E293" s="229">
        <v>0.59037799999999996</v>
      </c>
      <c r="F293" s="229">
        <v>0.37786500000000001</v>
      </c>
      <c r="G293" s="229">
        <v>0.61680699999999999</v>
      </c>
      <c r="H293" s="230">
        <f>Proj_Inputs!$B$44+(Proj_Inputs!$C$44-Proj_Inputs!$B$44)*B293</f>
        <v>5.7103399999999999E-2</v>
      </c>
      <c r="I293" s="230">
        <f>Proj_Inputs!$B$45+(Proj_Inputs!$C$45-Proj_Inputs!$B$45)*C293</f>
        <v>3.8049999999999994E-2</v>
      </c>
      <c r="J293" s="230">
        <f>Proj_Inputs!$B$46+(Proj_Inputs!$C$46-Proj_Inputs!$B$46)*D293</f>
        <v>-5.2465399999999981E-2</v>
      </c>
      <c r="K293" s="230">
        <f>Proj_Inputs!$B$47+(Proj_Inputs!$C$47-Proj_Inputs!$B$47)*E293</f>
        <v>9.7594499999999987E-2</v>
      </c>
      <c r="L293" s="230">
        <f>Proj_Inputs!$B$46+(Proj_Inputs!$C$46-Proj_Inputs!$B$46)*F293</f>
        <v>-7.4426999999999993E-2</v>
      </c>
      <c r="M293" s="230">
        <f>Proj_Inputs!$B$47+(Proj_Inputs!$C$47-Proj_Inputs!$B$47)*G293</f>
        <v>0.10420175</v>
      </c>
      <c r="N293" s="231">
        <f>(1+H293)*(Proj_Inputs!$B$20+J293)/Proj_Inputs!$B$20*((Proj_Inputs!$B$21+I293)*(1-Proj_Inputs!$B$24)*NPV_Pirelli!$B$47+NPV_Pirelli!$B$49)+(1+K293)*NPV_Pirelli!$B$48</f>
        <v>557.30693086966176</v>
      </c>
      <c r="O293" s="231">
        <f>(1+H293)*(Proj_Inputs!$C$20+L293)/Proj_Inputs!$C$20*((Proj_Inputs!$C$21+I293)*(1-Proj_Inputs!$C$24)*NPV_Hankook!$B$47+NPV_Hankook!$B$49)+(1+M293)*NPV_Hankook!$B$48</f>
        <v>9.3526202138798453</v>
      </c>
    </row>
    <row r="294" spans="1:15" x14ac:dyDescent="0.2">
      <c r="A294" s="228">
        <v>270</v>
      </c>
      <c r="B294" s="229">
        <v>0.91735299999999997</v>
      </c>
      <c r="C294" s="229">
        <v>0.231963</v>
      </c>
      <c r="D294" s="229">
        <v>0.65919799999999995</v>
      </c>
      <c r="E294" s="229">
        <v>0.53806200000000004</v>
      </c>
      <c r="F294" s="229">
        <v>0.73517100000000002</v>
      </c>
      <c r="G294" s="229">
        <v>0.92460600000000004</v>
      </c>
      <c r="H294" s="230">
        <f>Proj_Inputs!$B$44+(Proj_Inputs!$C$44-Proj_Inputs!$B$44)*B294</f>
        <v>8.3470600000000006E-2</v>
      </c>
      <c r="I294" s="230">
        <f>Proj_Inputs!$B$45+(Proj_Inputs!$C$45-Proj_Inputs!$B$45)*C294</f>
        <v>-2.144296E-2</v>
      </c>
      <c r="J294" s="230">
        <f>Proj_Inputs!$B$46+(Proj_Inputs!$C$46-Proj_Inputs!$B$46)*D294</f>
        <v>-1.8160399999999993E-2</v>
      </c>
      <c r="K294" s="230">
        <f>Proj_Inputs!$B$47+(Proj_Inputs!$C$47-Proj_Inputs!$B$47)*E294</f>
        <v>8.4515500000000007E-2</v>
      </c>
      <c r="L294" s="230">
        <f>Proj_Inputs!$B$46+(Proj_Inputs!$C$46-Proj_Inputs!$B$46)*F294</f>
        <v>-2.9657999999999907E-3</v>
      </c>
      <c r="M294" s="230">
        <f>Proj_Inputs!$B$47+(Proj_Inputs!$C$47-Proj_Inputs!$B$47)*G294</f>
        <v>0.18115150000000002</v>
      </c>
      <c r="N294" s="231">
        <f>(1+H294)*(Proj_Inputs!$B$20+J294)/Proj_Inputs!$B$20*((Proj_Inputs!$B$21+I294)*(1-Proj_Inputs!$B$24)*NPV_Pirelli!$B$47+NPV_Pirelli!$B$49)+(1+K294)*NPV_Pirelli!$B$48</f>
        <v>271.41074465999191</v>
      </c>
      <c r="O294" s="231">
        <f>(1+H294)*(Proj_Inputs!$C$20+L294)/Proj_Inputs!$C$20*((Proj_Inputs!$C$21+I294)*(1-Proj_Inputs!$C$24)*NPV_Hankook!$B$47+NPV_Hankook!$B$49)+(1+M294)*NPV_Hankook!$B$48</f>
        <v>-373.39179553042845</v>
      </c>
    </row>
    <row r="295" spans="1:15" x14ac:dyDescent="0.2">
      <c r="A295" s="228">
        <v>271</v>
      </c>
      <c r="B295" s="229">
        <v>0.59574000000000005</v>
      </c>
      <c r="C295" s="229">
        <v>0.67236799999999997</v>
      </c>
      <c r="D295" s="229">
        <v>0.159437</v>
      </c>
      <c r="E295" s="229">
        <v>0.86654900000000001</v>
      </c>
      <c r="F295" s="229">
        <v>6.5292000000000003E-2</v>
      </c>
      <c r="G295" s="229">
        <v>0.27813199999999999</v>
      </c>
      <c r="H295" s="230">
        <f>Proj_Inputs!$B$44+(Proj_Inputs!$C$44-Proj_Inputs!$B$44)*B295</f>
        <v>1.9148000000000012E-2</v>
      </c>
      <c r="I295" s="230">
        <f>Proj_Inputs!$B$45+(Proj_Inputs!$C$45-Proj_Inputs!$B$45)*C295</f>
        <v>1.378944E-2</v>
      </c>
      <c r="J295" s="230">
        <f>Proj_Inputs!$B$46+(Proj_Inputs!$C$46-Proj_Inputs!$B$46)*D295</f>
        <v>-0.11811259999999998</v>
      </c>
      <c r="K295" s="230">
        <f>Proj_Inputs!$B$47+(Proj_Inputs!$C$47-Proj_Inputs!$B$47)*E295</f>
        <v>0.16663725000000001</v>
      </c>
      <c r="L295" s="230">
        <f>Proj_Inputs!$B$46+(Proj_Inputs!$C$46-Proj_Inputs!$B$46)*F295</f>
        <v>-0.1369416</v>
      </c>
      <c r="M295" s="230">
        <f>Proj_Inputs!$B$47+(Proj_Inputs!$C$47-Proj_Inputs!$B$47)*G295</f>
        <v>1.9532999999999995E-2</v>
      </c>
      <c r="N295" s="231">
        <f>(1+H295)*(Proj_Inputs!$B$20+J295)/Proj_Inputs!$B$20*((Proj_Inputs!$B$21+I295)*(1-Proj_Inputs!$B$24)*NPV_Pirelli!$B$47+NPV_Pirelli!$B$49)+(1+K295)*NPV_Pirelli!$B$48</f>
        <v>212.68489414786097</v>
      </c>
      <c r="O295" s="231">
        <f>(1+H295)*(Proj_Inputs!$C$20+L295)/Proj_Inputs!$C$20*((Proj_Inputs!$C$21+I295)*(1-Proj_Inputs!$C$24)*NPV_Hankook!$B$47+NPV_Hankook!$B$49)+(1+M295)*NPV_Hankook!$B$48</f>
        <v>-176.7296542453231</v>
      </c>
    </row>
    <row r="296" spans="1:15" x14ac:dyDescent="0.2">
      <c r="A296" s="228">
        <v>272</v>
      </c>
      <c r="B296" s="229">
        <v>0.67606699999999997</v>
      </c>
      <c r="C296" s="229">
        <v>0.65139100000000005</v>
      </c>
      <c r="D296" s="229">
        <v>0.67261000000000004</v>
      </c>
      <c r="E296" s="229">
        <v>0.54819600000000002</v>
      </c>
      <c r="F296" s="229">
        <v>0.70837300000000003</v>
      </c>
      <c r="G296" s="229">
        <v>0.14141100000000001</v>
      </c>
      <c r="H296" s="230">
        <f>Proj_Inputs!$B$44+(Proj_Inputs!$C$44-Proj_Inputs!$B$44)*B296</f>
        <v>3.5213400000000006E-2</v>
      </c>
      <c r="I296" s="230">
        <f>Proj_Inputs!$B$45+(Proj_Inputs!$C$45-Proj_Inputs!$B$45)*C296</f>
        <v>1.2111280000000002E-2</v>
      </c>
      <c r="J296" s="230">
        <f>Proj_Inputs!$B$46+(Proj_Inputs!$C$46-Proj_Inputs!$B$46)*D296</f>
        <v>-1.5477999999999992E-2</v>
      </c>
      <c r="K296" s="230">
        <f>Proj_Inputs!$B$47+(Proj_Inputs!$C$47-Proj_Inputs!$B$47)*E296</f>
        <v>8.7049000000000001E-2</v>
      </c>
      <c r="L296" s="230">
        <f>Proj_Inputs!$B$46+(Proj_Inputs!$C$46-Proj_Inputs!$B$46)*F296</f>
        <v>-8.3253999999999828E-3</v>
      </c>
      <c r="M296" s="230">
        <f>Proj_Inputs!$B$47+(Proj_Inputs!$C$47-Proj_Inputs!$B$47)*G296</f>
        <v>-1.4647250000000001E-2</v>
      </c>
      <c r="N296" s="231">
        <f>(1+H296)*(Proj_Inputs!$B$20+J296)/Proj_Inputs!$B$20*((Proj_Inputs!$B$21+I296)*(1-Proj_Inputs!$B$24)*NPV_Pirelli!$B$47+NPV_Pirelli!$B$49)+(1+K296)*NPV_Pirelli!$B$48</f>
        <v>433.70487822520158</v>
      </c>
      <c r="O296" s="231">
        <f>(1+H296)*(Proj_Inputs!$C$20+L296)/Proj_Inputs!$C$20*((Proj_Inputs!$C$21+I296)*(1-Proj_Inputs!$C$24)*NPV_Hankook!$B$47+NPV_Hankook!$B$49)+(1+M296)*NPV_Hankook!$B$48</f>
        <v>39.949944808459577</v>
      </c>
    </row>
    <row r="297" spans="1:15" x14ac:dyDescent="0.2">
      <c r="A297" s="228">
        <v>273</v>
      </c>
      <c r="B297" s="229">
        <v>0.28954400000000002</v>
      </c>
      <c r="C297" s="229">
        <v>0.36991600000000002</v>
      </c>
      <c r="D297" s="229">
        <v>5.8897999999999999E-2</v>
      </c>
      <c r="E297" s="229">
        <v>0.72151200000000004</v>
      </c>
      <c r="F297" s="229">
        <v>0.77783100000000005</v>
      </c>
      <c r="G297" s="229">
        <v>0.82599</v>
      </c>
      <c r="H297" s="230">
        <f>Proj_Inputs!$B$44+(Proj_Inputs!$C$44-Proj_Inputs!$B$44)*B297</f>
        <v>-4.2091199999999995E-2</v>
      </c>
      <c r="I297" s="230">
        <f>Proj_Inputs!$B$45+(Proj_Inputs!$C$45-Proj_Inputs!$B$45)*C297</f>
        <v>-1.0406719999999998E-2</v>
      </c>
      <c r="J297" s="230">
        <f>Proj_Inputs!$B$46+(Proj_Inputs!$C$46-Proj_Inputs!$B$46)*D297</f>
        <v>-0.13822039999999999</v>
      </c>
      <c r="K297" s="230">
        <f>Proj_Inputs!$B$47+(Proj_Inputs!$C$47-Proj_Inputs!$B$47)*E297</f>
        <v>0.13037799999999999</v>
      </c>
      <c r="L297" s="230">
        <f>Proj_Inputs!$B$46+(Proj_Inputs!$C$46-Proj_Inputs!$B$46)*F297</f>
        <v>5.5662000000000211E-3</v>
      </c>
      <c r="M297" s="230">
        <f>Proj_Inputs!$B$47+(Proj_Inputs!$C$47-Proj_Inputs!$B$47)*G297</f>
        <v>0.15649750000000001</v>
      </c>
      <c r="N297" s="231">
        <f>(1+H297)*(Proj_Inputs!$B$20+J297)/Proj_Inputs!$B$20*((Proj_Inputs!$B$21+I297)*(1-Proj_Inputs!$B$24)*NPV_Pirelli!$B$47+NPV_Pirelli!$B$49)+(1+K297)*NPV_Pirelli!$B$48</f>
        <v>24.492022652417404</v>
      </c>
      <c r="O297" s="231">
        <f>(1+H297)*(Proj_Inputs!$C$20+L297)/Proj_Inputs!$C$20*((Proj_Inputs!$C$21+I297)*(1-Proj_Inputs!$C$24)*NPV_Hankook!$B$47+NPV_Hankook!$B$49)+(1+M297)*NPV_Hankook!$B$48</f>
        <v>-379.36305487881259</v>
      </c>
    </row>
    <row r="298" spans="1:15" x14ac:dyDescent="0.2">
      <c r="A298" s="228">
        <v>274</v>
      </c>
      <c r="B298" s="229">
        <v>0.102725</v>
      </c>
      <c r="C298" s="229">
        <v>0.73387000000000002</v>
      </c>
      <c r="D298" s="229">
        <v>0.25536300000000001</v>
      </c>
      <c r="E298" s="229">
        <v>0.27664299999999997</v>
      </c>
      <c r="F298" s="229">
        <v>0.77717400000000003</v>
      </c>
      <c r="G298" s="229">
        <v>0.65843300000000005</v>
      </c>
      <c r="H298" s="230">
        <f>Proj_Inputs!$B$44+(Proj_Inputs!$C$44-Proj_Inputs!$B$44)*B298</f>
        <v>-7.9454999999999998E-2</v>
      </c>
      <c r="I298" s="230">
        <f>Proj_Inputs!$B$45+(Proj_Inputs!$C$45-Proj_Inputs!$B$45)*C298</f>
        <v>1.87096E-2</v>
      </c>
      <c r="J298" s="230">
        <f>Proj_Inputs!$B$46+(Proj_Inputs!$C$46-Proj_Inputs!$B$46)*D298</f>
        <v>-9.8927399999999999E-2</v>
      </c>
      <c r="K298" s="230">
        <f>Proj_Inputs!$B$47+(Proj_Inputs!$C$47-Proj_Inputs!$B$47)*E298</f>
        <v>1.916074999999999E-2</v>
      </c>
      <c r="L298" s="230">
        <f>Proj_Inputs!$B$46+(Proj_Inputs!$C$46-Proj_Inputs!$B$46)*F298</f>
        <v>5.4348000000000174E-3</v>
      </c>
      <c r="M298" s="230">
        <f>Proj_Inputs!$B$47+(Proj_Inputs!$C$47-Proj_Inputs!$B$47)*G298</f>
        <v>0.11460825000000001</v>
      </c>
      <c r="N298" s="231">
        <f>(1+H298)*(Proj_Inputs!$B$20+J298)/Proj_Inputs!$B$20*((Proj_Inputs!$B$21+I298)*(1-Proj_Inputs!$B$24)*NPV_Pirelli!$B$47+NPV_Pirelli!$B$49)+(1+K298)*NPV_Pirelli!$B$48</f>
        <v>269.42378691989029</v>
      </c>
      <c r="O298" s="231">
        <f>(1+H298)*(Proj_Inputs!$C$20+L298)/Proj_Inputs!$C$20*((Proj_Inputs!$C$21+I298)*(1-Proj_Inputs!$C$24)*NPV_Hankook!$B$47+NPV_Hankook!$B$49)+(1+M298)*NPV_Hankook!$B$48</f>
        <v>-183.65295832128845</v>
      </c>
    </row>
    <row r="299" spans="1:15" x14ac:dyDescent="0.2">
      <c r="A299" s="228">
        <v>275</v>
      </c>
      <c r="B299" s="229">
        <v>0.82900700000000005</v>
      </c>
      <c r="C299" s="229">
        <v>0.41832799999999998</v>
      </c>
      <c r="D299" s="229">
        <v>0.100636</v>
      </c>
      <c r="E299" s="229">
        <v>0.59390399999999999</v>
      </c>
      <c r="F299" s="229">
        <v>0.24612700000000001</v>
      </c>
      <c r="G299" s="229">
        <v>0.62146599999999996</v>
      </c>
      <c r="H299" s="230">
        <f>Proj_Inputs!$B$44+(Proj_Inputs!$C$44-Proj_Inputs!$B$44)*B299</f>
        <v>6.580140000000001E-2</v>
      </c>
      <c r="I299" s="230">
        <f>Proj_Inputs!$B$45+(Proj_Inputs!$C$45-Proj_Inputs!$B$45)*C299</f>
        <v>-6.5337599999999996E-3</v>
      </c>
      <c r="J299" s="230">
        <f>Proj_Inputs!$B$46+(Proj_Inputs!$C$46-Proj_Inputs!$B$46)*D299</f>
        <v>-0.12987279999999998</v>
      </c>
      <c r="K299" s="230">
        <f>Proj_Inputs!$B$47+(Proj_Inputs!$C$47-Proj_Inputs!$B$47)*E299</f>
        <v>9.8475999999999994E-2</v>
      </c>
      <c r="L299" s="230">
        <f>Proj_Inputs!$B$46+(Proj_Inputs!$C$46-Proj_Inputs!$B$46)*F299</f>
        <v>-0.10077459999999999</v>
      </c>
      <c r="M299" s="230">
        <f>Proj_Inputs!$B$47+(Proj_Inputs!$C$47-Proj_Inputs!$B$47)*G299</f>
        <v>0.10536649999999999</v>
      </c>
      <c r="N299" s="231">
        <f>(1+H299)*(Proj_Inputs!$B$20+J299)/Proj_Inputs!$B$20*((Proj_Inputs!$B$21+I299)*(1-Proj_Inputs!$B$24)*NPV_Pirelli!$B$47+NPV_Pirelli!$B$49)+(1+K299)*NPV_Pirelli!$B$48</f>
        <v>185.78591817320842</v>
      </c>
      <c r="O299" s="231">
        <f>(1+H299)*(Proj_Inputs!$C$20+L299)/Proj_Inputs!$C$20*((Proj_Inputs!$C$21+I299)*(1-Proj_Inputs!$C$24)*NPV_Hankook!$B$47+NPV_Hankook!$B$49)+(1+M299)*NPV_Hankook!$B$48</f>
        <v>-312.17139225805136</v>
      </c>
    </row>
    <row r="300" spans="1:15" x14ac:dyDescent="0.2">
      <c r="A300" s="228">
        <v>276</v>
      </c>
      <c r="B300" s="229">
        <v>0.28789199999999998</v>
      </c>
      <c r="C300" s="229">
        <v>0.26566000000000001</v>
      </c>
      <c r="D300" s="229">
        <v>0.87916000000000005</v>
      </c>
      <c r="E300" s="229">
        <v>0.495255</v>
      </c>
      <c r="F300" s="229">
        <v>0.732159</v>
      </c>
      <c r="G300" s="229">
        <v>0.46488699999999999</v>
      </c>
      <c r="H300" s="230">
        <f>Proj_Inputs!$B$44+(Proj_Inputs!$C$44-Proj_Inputs!$B$44)*B300</f>
        <v>-4.2421600000000004E-2</v>
      </c>
      <c r="I300" s="230">
        <f>Proj_Inputs!$B$45+(Proj_Inputs!$C$45-Proj_Inputs!$B$45)*C300</f>
        <v>-1.8747199999999999E-2</v>
      </c>
      <c r="J300" s="230">
        <f>Proj_Inputs!$B$46+(Proj_Inputs!$C$46-Proj_Inputs!$B$46)*D300</f>
        <v>2.5832000000000022E-2</v>
      </c>
      <c r="K300" s="230">
        <f>Proj_Inputs!$B$47+(Proj_Inputs!$C$47-Proj_Inputs!$B$47)*E300</f>
        <v>7.3813749999999997E-2</v>
      </c>
      <c r="L300" s="230">
        <f>Proj_Inputs!$B$46+(Proj_Inputs!$C$46-Proj_Inputs!$B$46)*F300</f>
        <v>-3.5681999999999936E-3</v>
      </c>
      <c r="M300" s="230">
        <f>Proj_Inputs!$B$47+(Proj_Inputs!$C$47-Proj_Inputs!$B$47)*G300</f>
        <v>6.6221749999999996E-2</v>
      </c>
      <c r="N300" s="231">
        <f>(1+H300)*(Proj_Inputs!$B$20+J300)/Proj_Inputs!$B$20*((Proj_Inputs!$B$21+I300)*(1-Proj_Inputs!$B$24)*NPV_Pirelli!$B$47+NPV_Pirelli!$B$49)+(1+K300)*NPV_Pirelli!$B$48</f>
        <v>215.05898998208204</v>
      </c>
      <c r="O300" s="231">
        <f>(1+H300)*(Proj_Inputs!$C$20+L300)/Proj_Inputs!$C$20*((Proj_Inputs!$C$21+I300)*(1-Proj_Inputs!$C$24)*NPV_Hankook!$B$47+NPV_Hankook!$B$49)+(1+M300)*NPV_Hankook!$B$48</f>
        <v>-338.93544733069712</v>
      </c>
    </row>
    <row r="301" spans="1:15" x14ac:dyDescent="0.2">
      <c r="A301" s="228">
        <v>277</v>
      </c>
      <c r="B301" s="229">
        <v>0.35097</v>
      </c>
      <c r="C301" s="229">
        <v>0.97263599999999995</v>
      </c>
      <c r="D301" s="229">
        <v>0.88473999999999997</v>
      </c>
      <c r="E301" s="229">
        <v>0.32880999999999999</v>
      </c>
      <c r="F301" s="229">
        <v>4.5397E-2</v>
      </c>
      <c r="G301" s="229">
        <v>0.64352799999999999</v>
      </c>
      <c r="H301" s="230">
        <f>Proj_Inputs!$B$44+(Proj_Inputs!$C$44-Proj_Inputs!$B$44)*B301</f>
        <v>-2.9805999999999999E-2</v>
      </c>
      <c r="I301" s="230">
        <f>Proj_Inputs!$B$45+(Proj_Inputs!$C$45-Proj_Inputs!$B$45)*C301</f>
        <v>3.7810879999999998E-2</v>
      </c>
      <c r="J301" s="230">
        <f>Proj_Inputs!$B$46+(Proj_Inputs!$C$46-Proj_Inputs!$B$46)*D301</f>
        <v>2.6948E-2</v>
      </c>
      <c r="K301" s="230">
        <f>Proj_Inputs!$B$47+(Proj_Inputs!$C$47-Proj_Inputs!$B$47)*E301</f>
        <v>3.2202499999999995E-2</v>
      </c>
      <c r="L301" s="230">
        <f>Proj_Inputs!$B$46+(Proj_Inputs!$C$46-Proj_Inputs!$B$46)*F301</f>
        <v>-0.14092060000000001</v>
      </c>
      <c r="M301" s="230">
        <f>Proj_Inputs!$B$47+(Proj_Inputs!$C$47-Proj_Inputs!$B$47)*G301</f>
        <v>0.11088199999999999</v>
      </c>
      <c r="N301" s="231">
        <f>(1+H301)*(Proj_Inputs!$B$20+J301)/Proj_Inputs!$B$20*((Proj_Inputs!$B$21+I301)*(1-Proj_Inputs!$B$24)*NPV_Pirelli!$B$47+NPV_Pirelli!$B$49)+(1+K301)*NPV_Pirelli!$B$48</f>
        <v>612.75960272937994</v>
      </c>
      <c r="O301" s="231">
        <f>(1+H301)*(Proj_Inputs!$C$20+L301)/Proj_Inputs!$C$20*((Proj_Inputs!$C$21+I301)*(1-Proj_Inputs!$C$24)*NPV_Hankook!$B$47+NPV_Hankook!$B$49)+(1+M301)*NPV_Hankook!$B$48</f>
        <v>-201.77955558195072</v>
      </c>
    </row>
    <row r="302" spans="1:15" x14ac:dyDescent="0.2">
      <c r="A302" s="228">
        <v>278</v>
      </c>
      <c r="B302" s="229">
        <v>0.22012200000000001</v>
      </c>
      <c r="C302" s="229">
        <v>0.38608999999999999</v>
      </c>
      <c r="D302" s="229">
        <v>0.90804399999999996</v>
      </c>
      <c r="E302" s="229">
        <v>0.92418800000000001</v>
      </c>
      <c r="F302" s="229">
        <v>0.53068899999999997</v>
      </c>
      <c r="G302" s="229">
        <v>0.83177900000000005</v>
      </c>
      <c r="H302" s="230">
        <f>Proj_Inputs!$B$44+(Proj_Inputs!$C$44-Proj_Inputs!$B$44)*B302</f>
        <v>-5.59756E-2</v>
      </c>
      <c r="I302" s="230">
        <f>Proj_Inputs!$B$45+(Proj_Inputs!$C$45-Proj_Inputs!$B$45)*C302</f>
        <v>-9.1128000000000008E-3</v>
      </c>
      <c r="J302" s="230">
        <f>Proj_Inputs!$B$46+(Proj_Inputs!$C$46-Proj_Inputs!$B$46)*D302</f>
        <v>3.160880000000002E-2</v>
      </c>
      <c r="K302" s="230">
        <f>Proj_Inputs!$B$47+(Proj_Inputs!$C$47-Proj_Inputs!$B$47)*E302</f>
        <v>0.18104700000000001</v>
      </c>
      <c r="L302" s="230">
        <f>Proj_Inputs!$B$46+(Proj_Inputs!$C$46-Proj_Inputs!$B$46)*F302</f>
        <v>-4.386219999999999E-2</v>
      </c>
      <c r="M302" s="230">
        <f>Proj_Inputs!$B$47+(Proj_Inputs!$C$47-Proj_Inputs!$B$47)*G302</f>
        <v>0.15794475000000002</v>
      </c>
      <c r="N302" s="231">
        <f>(1+H302)*(Proj_Inputs!$B$20+J302)/Proj_Inputs!$B$20*((Proj_Inputs!$B$21+I302)*(1-Proj_Inputs!$B$24)*NPV_Pirelli!$B$47+NPV_Pirelli!$B$49)+(1+K302)*NPV_Pirelli!$B$48</f>
        <v>180.26562853057521</v>
      </c>
      <c r="O302" s="231">
        <f>(1+H302)*(Proj_Inputs!$C$20+L302)/Proj_Inputs!$C$20*((Proj_Inputs!$C$21+I302)*(1-Proj_Inputs!$C$24)*NPV_Hankook!$B$47+NPV_Hankook!$B$49)+(1+M302)*NPV_Hankook!$B$48</f>
        <v>-439.04791535554216</v>
      </c>
    </row>
    <row r="303" spans="1:15" x14ac:dyDescent="0.2">
      <c r="A303" s="228">
        <v>279</v>
      </c>
      <c r="B303" s="229">
        <v>0.689882</v>
      </c>
      <c r="C303" s="229">
        <v>0.50657600000000003</v>
      </c>
      <c r="D303" s="229">
        <v>0.20120099999999999</v>
      </c>
      <c r="E303" s="229">
        <v>0.98528700000000002</v>
      </c>
      <c r="F303" s="229">
        <v>0.63994499999999999</v>
      </c>
      <c r="G303" s="229">
        <v>0.71585200000000004</v>
      </c>
      <c r="H303" s="230">
        <f>Proj_Inputs!$B$44+(Proj_Inputs!$C$44-Proj_Inputs!$B$44)*B303</f>
        <v>3.7976399999999993E-2</v>
      </c>
      <c r="I303" s="230">
        <f>Proj_Inputs!$B$45+(Proj_Inputs!$C$45-Proj_Inputs!$B$45)*C303</f>
        <v>5.2608000000000515E-4</v>
      </c>
      <c r="J303" s="230">
        <f>Proj_Inputs!$B$46+(Proj_Inputs!$C$46-Proj_Inputs!$B$46)*D303</f>
        <v>-0.10975979999999999</v>
      </c>
      <c r="K303" s="230">
        <f>Proj_Inputs!$B$47+(Proj_Inputs!$C$47-Proj_Inputs!$B$47)*E303</f>
        <v>0.19632175000000002</v>
      </c>
      <c r="L303" s="230">
        <f>Proj_Inputs!$B$46+(Proj_Inputs!$C$46-Proj_Inputs!$B$46)*F303</f>
        <v>-2.2011000000000003E-2</v>
      </c>
      <c r="M303" s="230">
        <f>Proj_Inputs!$B$47+(Proj_Inputs!$C$47-Proj_Inputs!$B$47)*G303</f>
        <v>0.12896299999999999</v>
      </c>
      <c r="N303" s="231">
        <f>(1+H303)*(Proj_Inputs!$B$20+J303)/Proj_Inputs!$B$20*((Proj_Inputs!$B$21+I303)*(1-Proj_Inputs!$B$24)*NPV_Pirelli!$B$47+NPV_Pirelli!$B$49)+(1+K303)*NPV_Pirelli!$B$48</f>
        <v>147.74557459155471</v>
      </c>
      <c r="O303" s="231">
        <f>(1+H303)*(Proj_Inputs!$C$20+L303)/Proj_Inputs!$C$20*((Proj_Inputs!$C$21+I303)*(1-Proj_Inputs!$C$24)*NPV_Hankook!$B$47+NPV_Hankook!$B$49)+(1+M303)*NPV_Hankook!$B$48</f>
        <v>-222.59683629725714</v>
      </c>
    </row>
    <row r="304" spans="1:15" x14ac:dyDescent="0.2">
      <c r="A304" s="228">
        <v>280</v>
      </c>
      <c r="B304" s="229">
        <v>0.56272900000000003</v>
      </c>
      <c r="C304" s="229">
        <v>0.88988900000000004</v>
      </c>
      <c r="D304" s="229">
        <v>0.46453100000000003</v>
      </c>
      <c r="E304" s="229">
        <v>0.90650799999999998</v>
      </c>
      <c r="F304" s="229">
        <v>0.60149300000000006</v>
      </c>
      <c r="G304" s="229">
        <v>0.16362699999999999</v>
      </c>
      <c r="H304" s="230">
        <f>Proj_Inputs!$B$44+(Proj_Inputs!$C$44-Proj_Inputs!$B$44)*B304</f>
        <v>1.254580000000001E-2</v>
      </c>
      <c r="I304" s="230">
        <f>Proj_Inputs!$B$45+(Proj_Inputs!$C$45-Proj_Inputs!$B$45)*C304</f>
        <v>3.119112000000001E-2</v>
      </c>
      <c r="J304" s="230">
        <f>Proj_Inputs!$B$46+(Proj_Inputs!$C$46-Proj_Inputs!$B$46)*D304</f>
        <v>-5.7093799999999986E-2</v>
      </c>
      <c r="K304" s="230">
        <f>Proj_Inputs!$B$47+(Proj_Inputs!$C$47-Proj_Inputs!$B$47)*E304</f>
        <v>0.17662699999999998</v>
      </c>
      <c r="L304" s="230">
        <f>Proj_Inputs!$B$46+(Proj_Inputs!$C$46-Proj_Inputs!$B$46)*F304</f>
        <v>-2.9701399999999975E-2</v>
      </c>
      <c r="M304" s="230">
        <f>Proj_Inputs!$B$47+(Proj_Inputs!$C$47-Proj_Inputs!$B$47)*G304</f>
        <v>-9.0932500000000041E-3</v>
      </c>
      <c r="N304" s="231">
        <f>(1+H304)*(Proj_Inputs!$B$20+J304)/Proj_Inputs!$B$20*((Proj_Inputs!$B$21+I304)*(1-Proj_Inputs!$B$24)*NPV_Pirelli!$B$47+NPV_Pirelli!$B$49)+(1+K304)*NPV_Pirelli!$B$48</f>
        <v>387.35997558421775</v>
      </c>
      <c r="O304" s="231">
        <f>(1+H304)*(Proj_Inputs!$C$20+L304)/Proj_Inputs!$C$20*((Proj_Inputs!$C$21+I304)*(1-Proj_Inputs!$C$24)*NPV_Hankook!$B$47+NPV_Hankook!$B$49)+(1+M304)*NPV_Hankook!$B$48</f>
        <v>107.72910859382569</v>
      </c>
    </row>
    <row r="305" spans="1:15" x14ac:dyDescent="0.2">
      <c r="A305" s="228">
        <v>281</v>
      </c>
      <c r="B305" s="229">
        <v>0.70781300000000003</v>
      </c>
      <c r="C305" s="229">
        <v>0.52085099999999995</v>
      </c>
      <c r="D305" s="229">
        <v>0.60566799999999998</v>
      </c>
      <c r="E305" s="229">
        <v>0.459036</v>
      </c>
      <c r="F305" s="229">
        <v>3.6197E-2</v>
      </c>
      <c r="G305" s="229">
        <v>0.65344599999999997</v>
      </c>
      <c r="H305" s="230">
        <f>Proj_Inputs!$B$44+(Proj_Inputs!$C$44-Proj_Inputs!$B$44)*B305</f>
        <v>4.1562600000000005E-2</v>
      </c>
      <c r="I305" s="230">
        <f>Proj_Inputs!$B$45+(Proj_Inputs!$C$45-Proj_Inputs!$B$45)*C305</f>
        <v>1.6680799999999954E-3</v>
      </c>
      <c r="J305" s="230">
        <f>Proj_Inputs!$B$46+(Proj_Inputs!$C$46-Proj_Inputs!$B$46)*D305</f>
        <v>-2.8866399999999987E-2</v>
      </c>
      <c r="K305" s="230">
        <f>Proj_Inputs!$B$47+(Proj_Inputs!$C$47-Proj_Inputs!$B$47)*E305</f>
        <v>6.4758999999999997E-2</v>
      </c>
      <c r="L305" s="230">
        <f>Proj_Inputs!$B$46+(Proj_Inputs!$C$46-Proj_Inputs!$B$46)*F305</f>
        <v>-0.14276059999999999</v>
      </c>
      <c r="M305" s="230">
        <f>Proj_Inputs!$B$47+(Proj_Inputs!$C$47-Proj_Inputs!$B$47)*G305</f>
        <v>0.11336149999999999</v>
      </c>
      <c r="N305" s="231">
        <f>(1+H305)*(Proj_Inputs!$B$20+J305)/Proj_Inputs!$B$20*((Proj_Inputs!$B$21+I305)*(1-Proj_Inputs!$B$24)*NPV_Pirelli!$B$47+NPV_Pirelli!$B$49)+(1+K305)*NPV_Pirelli!$B$48</f>
        <v>374.40685543571863</v>
      </c>
      <c r="O305" s="231">
        <f>(1+H305)*(Proj_Inputs!$C$20+L305)/Proj_Inputs!$C$20*((Proj_Inputs!$C$21+I305)*(1-Proj_Inputs!$C$24)*NPV_Hankook!$B$47+NPV_Hankook!$B$49)+(1+M305)*NPV_Hankook!$B$48</f>
        <v>-344.34707489159575</v>
      </c>
    </row>
    <row r="306" spans="1:15" x14ac:dyDescent="0.2">
      <c r="A306" s="228">
        <v>282</v>
      </c>
      <c r="B306" s="229">
        <v>6.7140000000000003E-3</v>
      </c>
      <c r="C306" s="229">
        <v>0.208399</v>
      </c>
      <c r="D306" s="229">
        <v>0.23485400000000001</v>
      </c>
      <c r="E306" s="229">
        <v>0.56211999999999995</v>
      </c>
      <c r="F306" s="229">
        <v>0.84289199999999997</v>
      </c>
      <c r="G306" s="229">
        <v>0.68574999999999997</v>
      </c>
      <c r="H306" s="230">
        <f>Proj_Inputs!$B$44+(Proj_Inputs!$C$44-Proj_Inputs!$B$44)*B306</f>
        <v>-9.86572E-2</v>
      </c>
      <c r="I306" s="230">
        <f>Proj_Inputs!$B$45+(Proj_Inputs!$C$45-Proj_Inputs!$B$45)*C306</f>
        <v>-2.3328080000000001E-2</v>
      </c>
      <c r="J306" s="230">
        <f>Proj_Inputs!$B$46+(Proj_Inputs!$C$46-Proj_Inputs!$B$46)*D306</f>
        <v>-0.10302919999999999</v>
      </c>
      <c r="K306" s="230">
        <f>Proj_Inputs!$B$47+(Proj_Inputs!$C$47-Proj_Inputs!$B$47)*E306</f>
        <v>9.0529999999999985E-2</v>
      </c>
      <c r="L306" s="230">
        <f>Proj_Inputs!$B$46+(Proj_Inputs!$C$46-Proj_Inputs!$B$46)*F306</f>
        <v>1.8578400000000023E-2</v>
      </c>
      <c r="M306" s="230">
        <f>Proj_Inputs!$B$47+(Proj_Inputs!$C$47-Proj_Inputs!$B$47)*G306</f>
        <v>0.12143749999999999</v>
      </c>
      <c r="N306" s="231">
        <f>(1+H306)*(Proj_Inputs!$B$20+J306)/Proj_Inputs!$B$20*((Proj_Inputs!$B$21+I306)*(1-Proj_Inputs!$B$24)*NPV_Pirelli!$B$47+NPV_Pirelli!$B$49)+(1+K306)*NPV_Pirelli!$B$48</f>
        <v>-22.16245154362673</v>
      </c>
      <c r="O306" s="231">
        <f>(1+H306)*(Proj_Inputs!$C$20+L306)/Proj_Inputs!$C$20*((Proj_Inputs!$C$21+I306)*(1-Proj_Inputs!$C$24)*NPV_Hankook!$B$47+NPV_Hankook!$B$49)+(1+M306)*NPV_Hankook!$B$48</f>
        <v>-464.02398009295962</v>
      </c>
    </row>
    <row r="307" spans="1:15" x14ac:dyDescent="0.2">
      <c r="A307" s="228">
        <v>283</v>
      </c>
      <c r="B307" s="229">
        <v>0.37014399999999997</v>
      </c>
      <c r="C307" s="229">
        <v>0.278754</v>
      </c>
      <c r="D307" s="229">
        <v>7.4345999999999995E-2</v>
      </c>
      <c r="E307" s="229">
        <v>0.95537000000000005</v>
      </c>
      <c r="F307" s="229">
        <v>0.65124499999999996</v>
      </c>
      <c r="G307" s="229">
        <v>0.61946699999999999</v>
      </c>
      <c r="H307" s="230">
        <f>Proj_Inputs!$B$44+(Proj_Inputs!$C$44-Proj_Inputs!$B$44)*B307</f>
        <v>-2.5971200000000014E-2</v>
      </c>
      <c r="I307" s="230">
        <f>Proj_Inputs!$B$45+(Proj_Inputs!$C$45-Proj_Inputs!$B$45)*C307</f>
        <v>-1.7699679999999999E-2</v>
      </c>
      <c r="J307" s="230">
        <f>Proj_Inputs!$B$46+(Proj_Inputs!$C$46-Proj_Inputs!$B$46)*D307</f>
        <v>-0.1351308</v>
      </c>
      <c r="K307" s="230">
        <f>Proj_Inputs!$B$47+(Proj_Inputs!$C$47-Proj_Inputs!$B$47)*E307</f>
        <v>0.18884250000000002</v>
      </c>
      <c r="L307" s="230">
        <f>Proj_Inputs!$B$46+(Proj_Inputs!$C$46-Proj_Inputs!$B$46)*F307</f>
        <v>-1.9750999999999991E-2</v>
      </c>
      <c r="M307" s="230">
        <f>Proj_Inputs!$B$47+(Proj_Inputs!$C$47-Proj_Inputs!$B$47)*G307</f>
        <v>0.10486674999999999</v>
      </c>
      <c r="N307" s="231">
        <f>(1+H307)*(Proj_Inputs!$B$20+J307)/Proj_Inputs!$B$20*((Proj_Inputs!$B$21+I307)*(1-Proj_Inputs!$B$24)*NPV_Pirelli!$B$47+NPV_Pirelli!$B$49)+(1+K307)*NPV_Pirelli!$B$48</f>
        <v>-39.759821475460512</v>
      </c>
      <c r="O307" s="231">
        <f>(1+H307)*(Proj_Inputs!$C$20+L307)/Proj_Inputs!$C$20*((Proj_Inputs!$C$21+I307)*(1-Proj_Inputs!$C$24)*NPV_Hankook!$B$47+NPV_Hankook!$B$49)+(1+M307)*NPV_Hankook!$B$48</f>
        <v>-378.11925229362964</v>
      </c>
    </row>
    <row r="308" spans="1:15" x14ac:dyDescent="0.2">
      <c r="A308" s="228">
        <v>284</v>
      </c>
      <c r="B308" s="229">
        <v>0.33591300000000002</v>
      </c>
      <c r="C308" s="229">
        <v>0.15077399999999999</v>
      </c>
      <c r="D308" s="229">
        <v>0.14426600000000001</v>
      </c>
      <c r="E308" s="229">
        <v>0.820017</v>
      </c>
      <c r="F308" s="229">
        <v>0.28528799999999999</v>
      </c>
      <c r="G308" s="229">
        <v>0.77802700000000002</v>
      </c>
      <c r="H308" s="230">
        <f>Proj_Inputs!$B$44+(Proj_Inputs!$C$44-Proj_Inputs!$B$44)*B308</f>
        <v>-3.2817399999999997E-2</v>
      </c>
      <c r="I308" s="230">
        <f>Proj_Inputs!$B$45+(Proj_Inputs!$C$45-Proj_Inputs!$B$45)*C308</f>
        <v>-2.7938080000000001E-2</v>
      </c>
      <c r="J308" s="230">
        <f>Proj_Inputs!$B$46+(Proj_Inputs!$C$46-Proj_Inputs!$B$46)*D308</f>
        <v>-0.1211468</v>
      </c>
      <c r="K308" s="230">
        <f>Proj_Inputs!$B$47+(Proj_Inputs!$C$47-Proj_Inputs!$B$47)*E308</f>
        <v>0.15500425000000001</v>
      </c>
      <c r="L308" s="230">
        <f>Proj_Inputs!$B$46+(Proj_Inputs!$C$46-Proj_Inputs!$B$46)*F308</f>
        <v>-9.2942399999999994E-2</v>
      </c>
      <c r="M308" s="230">
        <f>Proj_Inputs!$B$47+(Proj_Inputs!$C$47-Proj_Inputs!$B$47)*G308</f>
        <v>0.14450675000000002</v>
      </c>
      <c r="N308" s="231">
        <f>(1+H308)*(Proj_Inputs!$B$20+J308)/Proj_Inputs!$B$20*((Proj_Inputs!$B$21+I308)*(1-Proj_Inputs!$B$24)*NPV_Pirelli!$B$47+NPV_Pirelli!$B$49)+(1+K308)*NPV_Pirelli!$B$48</f>
        <v>-56.110906156310648</v>
      </c>
      <c r="O308" s="231">
        <f>(1+H308)*(Proj_Inputs!$C$20+L308)/Proj_Inputs!$C$20*((Proj_Inputs!$C$21+I308)*(1-Proj_Inputs!$C$24)*NPV_Hankook!$B$47+NPV_Hankook!$B$49)+(1+M308)*NPV_Hankook!$B$48</f>
        <v>-566.36433832576927</v>
      </c>
    </row>
    <row r="309" spans="1:15" x14ac:dyDescent="0.2">
      <c r="A309" s="228">
        <v>285</v>
      </c>
      <c r="B309" s="229">
        <v>0.24099599999999999</v>
      </c>
      <c r="C309" s="229">
        <v>0.74129199999999995</v>
      </c>
      <c r="D309" s="229">
        <v>0.76490199999999997</v>
      </c>
      <c r="E309" s="229">
        <v>0.31693900000000003</v>
      </c>
      <c r="F309" s="229">
        <v>4.5687999999999999E-2</v>
      </c>
      <c r="G309" s="229">
        <v>0.358041</v>
      </c>
      <c r="H309" s="230">
        <f>Proj_Inputs!$B$44+(Proj_Inputs!$C$44-Proj_Inputs!$B$44)*B309</f>
        <v>-5.1800800000000008E-2</v>
      </c>
      <c r="I309" s="230">
        <f>Proj_Inputs!$B$45+(Proj_Inputs!$C$45-Proj_Inputs!$B$45)*C309</f>
        <v>1.9303359999999999E-2</v>
      </c>
      <c r="J309" s="230">
        <f>Proj_Inputs!$B$46+(Proj_Inputs!$C$46-Proj_Inputs!$B$46)*D309</f>
        <v>2.9804000000000219E-3</v>
      </c>
      <c r="K309" s="230">
        <f>Proj_Inputs!$B$47+(Proj_Inputs!$C$47-Proj_Inputs!$B$47)*E309</f>
        <v>2.9234750000000004E-2</v>
      </c>
      <c r="L309" s="230">
        <f>Proj_Inputs!$B$46+(Proj_Inputs!$C$46-Proj_Inputs!$B$46)*F309</f>
        <v>-0.1408624</v>
      </c>
      <c r="M309" s="230">
        <f>Proj_Inputs!$B$47+(Proj_Inputs!$C$47-Proj_Inputs!$B$47)*G309</f>
        <v>3.9510249999999997E-2</v>
      </c>
      <c r="N309" s="231">
        <f>(1+H309)*(Proj_Inputs!$B$20+J309)/Proj_Inputs!$B$20*((Proj_Inputs!$B$21+I309)*(1-Proj_Inputs!$B$24)*NPV_Pirelli!$B$47+NPV_Pirelli!$B$49)+(1+K309)*NPV_Pirelli!$B$48</f>
        <v>437.79225083880362</v>
      </c>
      <c r="O309" s="231">
        <f>(1+H309)*(Proj_Inputs!$C$20+L309)/Proj_Inputs!$C$20*((Proj_Inputs!$C$21+I309)*(1-Proj_Inputs!$C$24)*NPV_Hankook!$B$47+NPV_Hankook!$B$49)+(1+M309)*NPV_Hankook!$B$48</f>
        <v>-244.83514083582315</v>
      </c>
    </row>
    <row r="310" spans="1:15" x14ac:dyDescent="0.2">
      <c r="A310" s="228">
        <v>286</v>
      </c>
      <c r="B310" s="229">
        <v>0.88127699999999998</v>
      </c>
      <c r="C310" s="229">
        <v>0.80234700000000003</v>
      </c>
      <c r="D310" s="229">
        <v>0.33954000000000001</v>
      </c>
      <c r="E310" s="229">
        <v>0.93901599999999996</v>
      </c>
      <c r="F310" s="229">
        <v>0.46829199999999999</v>
      </c>
      <c r="G310" s="229">
        <v>0.75215399999999999</v>
      </c>
      <c r="H310" s="230">
        <f>Proj_Inputs!$B$44+(Proj_Inputs!$C$44-Proj_Inputs!$B$44)*B310</f>
        <v>7.6255400000000001E-2</v>
      </c>
      <c r="I310" s="230">
        <f>Proj_Inputs!$B$45+(Proj_Inputs!$C$45-Proj_Inputs!$B$45)*C310</f>
        <v>2.418776000000001E-2</v>
      </c>
      <c r="J310" s="230">
        <f>Proj_Inputs!$B$46+(Proj_Inputs!$C$46-Proj_Inputs!$B$46)*D310</f>
        <v>-8.2091999999999984E-2</v>
      </c>
      <c r="K310" s="230">
        <f>Proj_Inputs!$B$47+(Proj_Inputs!$C$47-Proj_Inputs!$B$47)*E310</f>
        <v>0.18475399999999997</v>
      </c>
      <c r="L310" s="230">
        <f>Proj_Inputs!$B$46+(Proj_Inputs!$C$46-Proj_Inputs!$B$46)*F310</f>
        <v>-5.6341599999999992E-2</v>
      </c>
      <c r="M310" s="230">
        <f>Proj_Inputs!$B$47+(Proj_Inputs!$C$47-Proj_Inputs!$B$47)*G310</f>
        <v>0.13803850000000001</v>
      </c>
      <c r="N310" s="231">
        <f>(1+H310)*(Proj_Inputs!$B$20+J310)/Proj_Inputs!$B$20*((Proj_Inputs!$B$21+I310)*(1-Proj_Inputs!$B$24)*NPV_Pirelli!$B$47+NPV_Pirelli!$B$49)+(1+K310)*NPV_Pirelli!$B$48</f>
        <v>379.86399070094512</v>
      </c>
      <c r="O310" s="231">
        <f>(1+H310)*(Proj_Inputs!$C$20+L310)/Proj_Inputs!$C$20*((Proj_Inputs!$C$21+I310)*(1-Proj_Inputs!$C$24)*NPV_Hankook!$B$47+NPV_Hankook!$B$49)+(1+M310)*NPV_Hankook!$B$48</f>
        <v>-73.554272644334105</v>
      </c>
    </row>
    <row r="311" spans="1:15" x14ac:dyDescent="0.2">
      <c r="A311" s="228">
        <v>287</v>
      </c>
      <c r="B311" s="229">
        <v>0.32888899999999999</v>
      </c>
      <c r="C311" s="229">
        <v>0.45308799999999999</v>
      </c>
      <c r="D311" s="229">
        <v>0.77738399999999996</v>
      </c>
      <c r="E311" s="229">
        <v>8.7537000000000004E-2</v>
      </c>
      <c r="F311" s="229">
        <v>0.87231300000000001</v>
      </c>
      <c r="G311" s="229">
        <v>0.21348500000000001</v>
      </c>
      <c r="H311" s="230">
        <f>Proj_Inputs!$B$44+(Proj_Inputs!$C$44-Proj_Inputs!$B$44)*B311</f>
        <v>-3.4222200000000008E-2</v>
      </c>
      <c r="I311" s="230">
        <f>Proj_Inputs!$B$45+(Proj_Inputs!$C$45-Proj_Inputs!$B$45)*C311</f>
        <v>-3.7529599999999996E-3</v>
      </c>
      <c r="J311" s="230">
        <f>Proj_Inputs!$B$46+(Proj_Inputs!$C$46-Proj_Inputs!$B$46)*D311</f>
        <v>5.4768000000000039E-3</v>
      </c>
      <c r="K311" s="230">
        <f>Proj_Inputs!$B$47+(Proj_Inputs!$C$47-Proj_Inputs!$B$47)*E311</f>
        <v>-2.8115750000000002E-2</v>
      </c>
      <c r="L311" s="230">
        <f>Proj_Inputs!$B$46+(Proj_Inputs!$C$46-Proj_Inputs!$B$46)*F311</f>
        <v>2.4462600000000029E-2</v>
      </c>
      <c r="M311" s="230">
        <f>Proj_Inputs!$B$47+(Proj_Inputs!$C$47-Proj_Inputs!$B$47)*G311</f>
        <v>3.3712499999999992E-3</v>
      </c>
      <c r="N311" s="231">
        <f>(1+H311)*(Proj_Inputs!$B$20+J311)/Proj_Inputs!$B$20*((Proj_Inputs!$B$21+I311)*(1-Proj_Inputs!$B$24)*NPV_Pirelli!$B$47+NPV_Pirelli!$B$49)+(1+K311)*NPV_Pirelli!$B$48</f>
        <v>371.09294419144658</v>
      </c>
      <c r="O311" s="231">
        <f>(1+H311)*(Proj_Inputs!$C$20+L311)/Proj_Inputs!$C$20*((Proj_Inputs!$C$21+I311)*(1-Proj_Inputs!$C$24)*NPV_Hankook!$B$47+NPV_Hankook!$B$49)+(1+M311)*NPV_Hankook!$B$48</f>
        <v>-127.73581864963057</v>
      </c>
    </row>
    <row r="312" spans="1:15" x14ac:dyDescent="0.2">
      <c r="A312" s="228">
        <v>288</v>
      </c>
      <c r="B312" s="229">
        <v>0.49197299999999999</v>
      </c>
      <c r="C312" s="229">
        <v>0.24424299999999999</v>
      </c>
      <c r="D312" s="229">
        <v>0.71542499999999998</v>
      </c>
      <c r="E312" s="229">
        <v>0.88670499999999997</v>
      </c>
      <c r="F312" s="229">
        <v>0.206372</v>
      </c>
      <c r="G312" s="229">
        <v>0.20951700000000001</v>
      </c>
      <c r="H312" s="230">
        <f>Proj_Inputs!$B$44+(Proj_Inputs!$C$44-Proj_Inputs!$B$44)*B312</f>
        <v>-1.6054000000000068E-3</v>
      </c>
      <c r="I312" s="230">
        <f>Proj_Inputs!$B$45+(Proj_Inputs!$C$45-Proj_Inputs!$B$45)*C312</f>
        <v>-2.0460560000000003E-2</v>
      </c>
      <c r="J312" s="230">
        <f>Proj_Inputs!$B$46+(Proj_Inputs!$C$46-Proj_Inputs!$B$46)*D312</f>
        <v>-6.9150000000000045E-3</v>
      </c>
      <c r="K312" s="230">
        <f>Proj_Inputs!$B$47+(Proj_Inputs!$C$47-Proj_Inputs!$B$47)*E312</f>
        <v>0.17167624999999997</v>
      </c>
      <c r="L312" s="230">
        <f>Proj_Inputs!$B$46+(Proj_Inputs!$C$46-Proj_Inputs!$B$46)*F312</f>
        <v>-0.10872559999999999</v>
      </c>
      <c r="M312" s="230">
        <f>Proj_Inputs!$B$47+(Proj_Inputs!$C$47-Proj_Inputs!$B$47)*G312</f>
        <v>2.3792499999999994E-3</v>
      </c>
      <c r="N312" s="231">
        <f>(1+H312)*(Proj_Inputs!$B$20+J312)/Proj_Inputs!$B$20*((Proj_Inputs!$B$21+I312)*(1-Proj_Inputs!$B$24)*NPV_Pirelli!$B$47+NPV_Pirelli!$B$49)+(1+K312)*NPV_Pirelli!$B$48</f>
        <v>133.508751380832</v>
      </c>
      <c r="O312" s="231">
        <f>(1+H312)*(Proj_Inputs!$C$20+L312)/Proj_Inputs!$C$20*((Proj_Inputs!$C$21+I312)*(1-Proj_Inputs!$C$24)*NPV_Hankook!$B$47+NPV_Hankook!$B$49)+(1+M312)*NPV_Hankook!$B$48</f>
        <v>-346.80021168535677</v>
      </c>
    </row>
    <row r="313" spans="1:15" x14ac:dyDescent="0.2">
      <c r="A313" s="228">
        <v>289</v>
      </c>
      <c r="B313" s="229">
        <v>0.76327800000000001</v>
      </c>
      <c r="C313" s="229">
        <v>0.15512000000000001</v>
      </c>
      <c r="D313" s="229">
        <v>0.839171</v>
      </c>
      <c r="E313" s="229">
        <v>0.45406400000000002</v>
      </c>
      <c r="F313" s="229">
        <v>0.72701400000000005</v>
      </c>
      <c r="G313" s="229">
        <v>8.1486000000000003E-2</v>
      </c>
      <c r="H313" s="230">
        <f>Proj_Inputs!$B$44+(Proj_Inputs!$C$44-Proj_Inputs!$B$44)*B313</f>
        <v>5.2655599999999997E-2</v>
      </c>
      <c r="I313" s="230">
        <f>Proj_Inputs!$B$45+(Proj_Inputs!$C$45-Proj_Inputs!$B$45)*C313</f>
        <v>-2.7590400000000001E-2</v>
      </c>
      <c r="J313" s="230">
        <f>Proj_Inputs!$B$46+(Proj_Inputs!$C$46-Proj_Inputs!$B$46)*D313</f>
        <v>1.7834200000000022E-2</v>
      </c>
      <c r="K313" s="230">
        <f>Proj_Inputs!$B$47+(Proj_Inputs!$C$47-Proj_Inputs!$B$47)*E313</f>
        <v>6.3516000000000003E-2</v>
      </c>
      <c r="L313" s="230">
        <f>Proj_Inputs!$B$46+(Proj_Inputs!$C$46-Proj_Inputs!$B$46)*F313</f>
        <v>-4.597199999999968E-3</v>
      </c>
      <c r="M313" s="230">
        <f>Proj_Inputs!$B$47+(Proj_Inputs!$C$47-Proj_Inputs!$B$47)*G313</f>
        <v>-2.9628500000000002E-2</v>
      </c>
      <c r="N313" s="231">
        <f>(1+H313)*(Proj_Inputs!$B$20+J313)/Proj_Inputs!$B$20*((Proj_Inputs!$B$21+I313)*(1-Proj_Inputs!$B$24)*NPV_Pirelli!$B$47+NPV_Pirelli!$B$49)+(1+K313)*NPV_Pirelli!$B$48</f>
        <v>259.77403964119651</v>
      </c>
      <c r="O313" s="231">
        <f>(1+H313)*(Proj_Inputs!$C$20+L313)/Proj_Inputs!$C$20*((Proj_Inputs!$C$21+I313)*(1-Proj_Inputs!$C$24)*NPV_Hankook!$B$47+NPV_Hankook!$B$49)+(1+M313)*NPV_Hankook!$B$48</f>
        <v>-202.53881367989607</v>
      </c>
    </row>
    <row r="314" spans="1:15" x14ac:dyDescent="0.2">
      <c r="A314" s="228">
        <v>290</v>
      </c>
      <c r="B314" s="229">
        <v>0.44529400000000002</v>
      </c>
      <c r="C314" s="229">
        <v>0.152169</v>
      </c>
      <c r="D314" s="229">
        <v>0.58307699999999996</v>
      </c>
      <c r="E314" s="229">
        <v>0.66753899999999999</v>
      </c>
      <c r="F314" s="229">
        <v>0.65182799999999996</v>
      </c>
      <c r="G314" s="229">
        <v>0.400038</v>
      </c>
      <c r="H314" s="230">
        <f>Proj_Inputs!$B$44+(Proj_Inputs!$C$44-Proj_Inputs!$B$44)*B314</f>
        <v>-1.0941199999999998E-2</v>
      </c>
      <c r="I314" s="230">
        <f>Proj_Inputs!$B$45+(Proj_Inputs!$C$45-Proj_Inputs!$B$45)*C314</f>
        <v>-2.7826480000000001E-2</v>
      </c>
      <c r="J314" s="230">
        <f>Proj_Inputs!$B$46+(Proj_Inputs!$C$46-Proj_Inputs!$B$46)*D314</f>
        <v>-3.33846E-2</v>
      </c>
      <c r="K314" s="230">
        <f>Proj_Inputs!$B$47+(Proj_Inputs!$C$47-Proj_Inputs!$B$47)*E314</f>
        <v>0.11688475</v>
      </c>
      <c r="L314" s="230">
        <f>Proj_Inputs!$B$46+(Proj_Inputs!$C$46-Proj_Inputs!$B$46)*F314</f>
        <v>-1.9634399999999996E-2</v>
      </c>
      <c r="M314" s="230">
        <f>Proj_Inputs!$B$47+(Proj_Inputs!$C$47-Proj_Inputs!$B$47)*G314</f>
        <v>5.0009499999999998E-2</v>
      </c>
      <c r="N314" s="231">
        <f>(1+H314)*(Proj_Inputs!$B$20+J314)/Proj_Inputs!$B$20*((Proj_Inputs!$B$21+I314)*(1-Proj_Inputs!$B$24)*NPV_Pirelli!$B$47+NPV_Pirelli!$B$49)+(1+K314)*NPV_Pirelli!$B$48</f>
        <v>92.380654012561308</v>
      </c>
      <c r="O314" s="231">
        <f>(1+H314)*(Proj_Inputs!$C$20+L314)/Proj_Inputs!$C$20*((Proj_Inputs!$C$21+I314)*(1-Proj_Inputs!$C$24)*NPV_Hankook!$B$47+NPV_Hankook!$B$49)+(1+M314)*NPV_Hankook!$B$48</f>
        <v>-367.32685913968601</v>
      </c>
    </row>
    <row r="315" spans="1:15" x14ac:dyDescent="0.2">
      <c r="A315" s="228">
        <v>291</v>
      </c>
      <c r="B315" s="229">
        <v>0.26011400000000001</v>
      </c>
      <c r="C315" s="229">
        <v>0.81933</v>
      </c>
      <c r="D315" s="229">
        <v>0.394237</v>
      </c>
      <c r="E315" s="229">
        <v>0.849908</v>
      </c>
      <c r="F315" s="229">
        <v>0.18332999999999999</v>
      </c>
      <c r="G315" s="229">
        <v>0.41074300000000002</v>
      </c>
      <c r="H315" s="230">
        <f>Proj_Inputs!$B$44+(Proj_Inputs!$C$44-Proj_Inputs!$B$44)*B315</f>
        <v>-4.7977199999999998E-2</v>
      </c>
      <c r="I315" s="230">
        <f>Proj_Inputs!$B$45+(Proj_Inputs!$C$45-Proj_Inputs!$B$45)*C315</f>
        <v>2.5546400000000004E-2</v>
      </c>
      <c r="J315" s="230">
        <f>Proj_Inputs!$B$46+(Proj_Inputs!$C$46-Proj_Inputs!$B$46)*D315</f>
        <v>-7.1152599999999983E-2</v>
      </c>
      <c r="K315" s="230">
        <f>Proj_Inputs!$B$47+(Proj_Inputs!$C$47-Proj_Inputs!$B$47)*E315</f>
        <v>0.16247699999999998</v>
      </c>
      <c r="L315" s="230">
        <f>Proj_Inputs!$B$46+(Proj_Inputs!$C$46-Proj_Inputs!$B$46)*F315</f>
        <v>-0.11333399999999999</v>
      </c>
      <c r="M315" s="230">
        <f>Proj_Inputs!$B$47+(Proj_Inputs!$C$47-Proj_Inputs!$B$47)*G315</f>
        <v>5.2685750000000003E-2</v>
      </c>
      <c r="N315" s="231">
        <f>(1+H315)*(Proj_Inputs!$B$20+J315)/Proj_Inputs!$B$20*((Proj_Inputs!$B$21+I315)*(1-Proj_Inputs!$B$24)*NPV_Pirelli!$B$47+NPV_Pirelli!$B$49)+(1+K315)*NPV_Pirelli!$B$48</f>
        <v>268.67951632023141</v>
      </c>
      <c r="O315" s="231">
        <f>(1+H315)*(Proj_Inputs!$C$20+L315)/Proj_Inputs!$C$20*((Proj_Inputs!$C$21+I315)*(1-Proj_Inputs!$C$24)*NPV_Hankook!$B$47+NPV_Hankook!$B$49)+(1+M315)*NPV_Hankook!$B$48</f>
        <v>-185.55644458360553</v>
      </c>
    </row>
    <row r="316" spans="1:15" x14ac:dyDescent="0.2">
      <c r="A316" s="228">
        <v>292</v>
      </c>
      <c r="B316" s="229">
        <v>0.32670100000000002</v>
      </c>
      <c r="C316" s="229">
        <v>0.904949</v>
      </c>
      <c r="D316" s="229">
        <v>0.92527700000000002</v>
      </c>
      <c r="E316" s="229">
        <v>0.39194400000000001</v>
      </c>
      <c r="F316" s="229">
        <v>0.73282700000000001</v>
      </c>
      <c r="G316" s="229">
        <v>0.36862800000000001</v>
      </c>
      <c r="H316" s="230">
        <f>Proj_Inputs!$B$44+(Proj_Inputs!$C$44-Proj_Inputs!$B$44)*B316</f>
        <v>-3.4659800000000004E-2</v>
      </c>
      <c r="I316" s="230">
        <f>Proj_Inputs!$B$45+(Proj_Inputs!$C$45-Proj_Inputs!$B$45)*C316</f>
        <v>3.2395920000000002E-2</v>
      </c>
      <c r="J316" s="230">
        <f>Proj_Inputs!$B$46+(Proj_Inputs!$C$46-Proj_Inputs!$B$46)*D316</f>
        <v>3.5055400000000014E-2</v>
      </c>
      <c r="K316" s="230">
        <f>Proj_Inputs!$B$47+(Proj_Inputs!$C$47-Proj_Inputs!$B$47)*E316</f>
        <v>4.7986000000000001E-2</v>
      </c>
      <c r="L316" s="230">
        <f>Proj_Inputs!$B$46+(Proj_Inputs!$C$46-Proj_Inputs!$B$46)*F316</f>
        <v>-3.4345999999999821E-3</v>
      </c>
      <c r="M316" s="230">
        <f>Proj_Inputs!$B$47+(Proj_Inputs!$C$47-Proj_Inputs!$B$47)*G316</f>
        <v>4.2157E-2</v>
      </c>
      <c r="N316" s="231">
        <f>(1+H316)*(Proj_Inputs!$B$20+J316)/Proj_Inputs!$B$20*((Proj_Inputs!$B$21+I316)*(1-Proj_Inputs!$B$24)*NPV_Pirelli!$B$47+NPV_Pirelli!$B$49)+(1+K316)*NPV_Pirelli!$B$48</f>
        <v>571.99782584815057</v>
      </c>
      <c r="O316" s="231">
        <f>(1+H316)*(Proj_Inputs!$C$20+L316)/Proj_Inputs!$C$20*((Proj_Inputs!$C$21+I316)*(1-Proj_Inputs!$C$24)*NPV_Hankook!$B$47+NPV_Hankook!$B$49)+(1+M316)*NPV_Hankook!$B$48</f>
        <v>33.554779330244855</v>
      </c>
    </row>
    <row r="317" spans="1:15" x14ac:dyDescent="0.2">
      <c r="A317" s="228">
        <v>293</v>
      </c>
      <c r="B317" s="229">
        <v>0.79364500000000004</v>
      </c>
      <c r="C317" s="229">
        <v>0.39362599999999998</v>
      </c>
      <c r="D317" s="229">
        <v>0.67696299999999998</v>
      </c>
      <c r="E317" s="229">
        <v>0.523899</v>
      </c>
      <c r="F317" s="229">
        <v>0.82340400000000002</v>
      </c>
      <c r="G317" s="229">
        <v>0.180779</v>
      </c>
      <c r="H317" s="230">
        <f>Proj_Inputs!$B$44+(Proj_Inputs!$C$44-Proj_Inputs!$B$44)*B317</f>
        <v>5.8729000000000003E-2</v>
      </c>
      <c r="I317" s="230">
        <f>Proj_Inputs!$B$45+(Proj_Inputs!$C$45-Proj_Inputs!$B$45)*C317</f>
        <v>-8.5099200000000041E-3</v>
      </c>
      <c r="J317" s="230">
        <f>Proj_Inputs!$B$46+(Proj_Inputs!$C$46-Proj_Inputs!$B$46)*D317</f>
        <v>-1.4607399999999993E-2</v>
      </c>
      <c r="K317" s="230">
        <f>Proj_Inputs!$B$47+(Proj_Inputs!$C$47-Proj_Inputs!$B$47)*E317</f>
        <v>8.0974749999999998E-2</v>
      </c>
      <c r="L317" s="230">
        <f>Proj_Inputs!$B$46+(Proj_Inputs!$C$46-Proj_Inputs!$B$46)*F317</f>
        <v>1.4680800000000022E-2</v>
      </c>
      <c r="M317" s="230">
        <f>Proj_Inputs!$B$47+(Proj_Inputs!$C$47-Proj_Inputs!$B$47)*G317</f>
        <v>-4.805250000000004E-3</v>
      </c>
      <c r="N317" s="231">
        <f>(1+H317)*(Proj_Inputs!$B$20+J317)/Proj_Inputs!$B$20*((Proj_Inputs!$B$21+I317)*(1-Proj_Inputs!$B$24)*NPV_Pirelli!$B$47+NPV_Pirelli!$B$49)+(1+K317)*NPV_Pirelli!$B$48</f>
        <v>336.24513831209492</v>
      </c>
      <c r="O317" s="231">
        <f>(1+H317)*(Proj_Inputs!$C$20+L317)/Proj_Inputs!$C$20*((Proj_Inputs!$C$21+I317)*(1-Proj_Inputs!$C$24)*NPV_Hankook!$B$47+NPV_Hankook!$B$49)+(1+M317)*NPV_Hankook!$B$48</f>
        <v>-65.313522443488637</v>
      </c>
    </row>
    <row r="318" spans="1:15" x14ac:dyDescent="0.2">
      <c r="A318" s="228">
        <v>294</v>
      </c>
      <c r="B318" s="229">
        <v>3.4516999999999999E-2</v>
      </c>
      <c r="C318" s="229">
        <v>0.82379000000000002</v>
      </c>
      <c r="D318" s="229">
        <v>0.20690900000000001</v>
      </c>
      <c r="E318" s="229">
        <v>6.9449999999999998E-3</v>
      </c>
      <c r="F318" s="229">
        <v>1.9567999999999999E-2</v>
      </c>
      <c r="G318" s="229">
        <v>0.36366199999999999</v>
      </c>
      <c r="H318" s="230">
        <f>Proj_Inputs!$B$44+(Proj_Inputs!$C$44-Proj_Inputs!$B$44)*B318</f>
        <v>-9.3096600000000002E-2</v>
      </c>
      <c r="I318" s="230">
        <f>Proj_Inputs!$B$45+(Proj_Inputs!$C$45-Proj_Inputs!$B$45)*C318</f>
        <v>2.5903200000000008E-2</v>
      </c>
      <c r="J318" s="230">
        <f>Proj_Inputs!$B$46+(Proj_Inputs!$C$46-Proj_Inputs!$B$46)*D318</f>
        <v>-0.1086182</v>
      </c>
      <c r="K318" s="230">
        <f>Proj_Inputs!$B$47+(Proj_Inputs!$C$47-Proj_Inputs!$B$47)*E318</f>
        <v>-4.8263750000000001E-2</v>
      </c>
      <c r="L318" s="230">
        <f>Proj_Inputs!$B$46+(Proj_Inputs!$C$46-Proj_Inputs!$B$46)*F318</f>
        <v>-0.14608640000000001</v>
      </c>
      <c r="M318" s="230">
        <f>Proj_Inputs!$B$47+(Proj_Inputs!$C$47-Proj_Inputs!$B$47)*G318</f>
        <v>4.0915499999999994E-2</v>
      </c>
      <c r="N318" s="231">
        <f>(1+H318)*(Proj_Inputs!$B$20+J318)/Proj_Inputs!$B$20*((Proj_Inputs!$B$21+I318)*(1-Proj_Inputs!$B$24)*NPV_Pirelli!$B$47+NPV_Pirelli!$B$49)+(1+K318)*NPV_Pirelli!$B$48</f>
        <v>329.37955228259636</v>
      </c>
      <c r="O318" s="231">
        <f>(1+H318)*(Proj_Inputs!$C$20+L318)/Proj_Inputs!$C$20*((Proj_Inputs!$C$21+I318)*(1-Proj_Inputs!$C$24)*NPV_Hankook!$B$47+NPV_Hankook!$B$49)+(1+M318)*NPV_Hankook!$B$48</f>
        <v>-260.45949710840341</v>
      </c>
    </row>
    <row r="319" spans="1:15" x14ac:dyDescent="0.2">
      <c r="A319" s="228">
        <v>295</v>
      </c>
      <c r="B319" s="229">
        <v>0.60275299999999998</v>
      </c>
      <c r="C319" s="229">
        <v>0.82201000000000002</v>
      </c>
      <c r="D319" s="229">
        <v>0.73904099999999995</v>
      </c>
      <c r="E319" s="229">
        <v>0.10827299999999999</v>
      </c>
      <c r="F319" s="229">
        <v>0.60781200000000002</v>
      </c>
      <c r="G319" s="229">
        <v>0.663856</v>
      </c>
      <c r="H319" s="230">
        <f>Proj_Inputs!$B$44+(Proj_Inputs!$C$44-Proj_Inputs!$B$44)*B319</f>
        <v>2.0550600000000002E-2</v>
      </c>
      <c r="I319" s="230">
        <f>Proj_Inputs!$B$45+(Proj_Inputs!$C$45-Proj_Inputs!$B$45)*C319</f>
        <v>2.5760800000000007E-2</v>
      </c>
      <c r="J319" s="230">
        <f>Proj_Inputs!$B$46+(Proj_Inputs!$C$46-Proj_Inputs!$B$46)*D319</f>
        <v>-2.1917999999999938E-3</v>
      </c>
      <c r="K319" s="230">
        <f>Proj_Inputs!$B$47+(Proj_Inputs!$C$47-Proj_Inputs!$B$47)*E319</f>
        <v>-2.2931750000000004E-2</v>
      </c>
      <c r="L319" s="230">
        <f>Proj_Inputs!$B$46+(Proj_Inputs!$C$46-Proj_Inputs!$B$46)*F319</f>
        <v>-2.843759999999998E-2</v>
      </c>
      <c r="M319" s="230">
        <f>Proj_Inputs!$B$47+(Proj_Inputs!$C$47-Proj_Inputs!$B$47)*G319</f>
        <v>0.115964</v>
      </c>
      <c r="N319" s="231">
        <f>(1+H319)*(Proj_Inputs!$B$20+J319)/Proj_Inputs!$B$20*((Proj_Inputs!$B$21+I319)*(1-Proj_Inputs!$B$24)*NPV_Pirelli!$B$47+NPV_Pirelli!$B$49)+(1+K319)*NPV_Pirelli!$B$48</f>
        <v>607.203033250354</v>
      </c>
      <c r="O319" s="231">
        <f>(1+H319)*(Proj_Inputs!$C$20+L319)/Proj_Inputs!$C$20*((Proj_Inputs!$C$21+I319)*(1-Proj_Inputs!$C$24)*NPV_Hankook!$B$47+NPV_Hankook!$B$49)+(1+M319)*NPV_Hankook!$B$48</f>
        <v>-62.721018876220114</v>
      </c>
    </row>
    <row r="320" spans="1:15" x14ac:dyDescent="0.2">
      <c r="A320" s="228">
        <v>296</v>
      </c>
      <c r="B320" s="229">
        <v>0.76610699999999998</v>
      </c>
      <c r="C320" s="229">
        <v>0.240095</v>
      </c>
      <c r="D320" s="229">
        <v>0.22566600000000001</v>
      </c>
      <c r="E320" s="229">
        <v>0.219587</v>
      </c>
      <c r="F320" s="229">
        <v>0.10274</v>
      </c>
      <c r="G320" s="229">
        <v>0.92100899999999997</v>
      </c>
      <c r="H320" s="230">
        <f>Proj_Inputs!$B$44+(Proj_Inputs!$C$44-Proj_Inputs!$B$44)*B320</f>
        <v>5.3221400000000002E-2</v>
      </c>
      <c r="I320" s="230">
        <f>Proj_Inputs!$B$45+(Proj_Inputs!$C$45-Proj_Inputs!$B$45)*C320</f>
        <v>-2.0792399999999999E-2</v>
      </c>
      <c r="J320" s="230">
        <f>Proj_Inputs!$B$46+(Proj_Inputs!$C$46-Proj_Inputs!$B$46)*D320</f>
        <v>-0.10486679999999998</v>
      </c>
      <c r="K320" s="230">
        <f>Proj_Inputs!$B$47+(Proj_Inputs!$C$47-Proj_Inputs!$B$47)*E320</f>
        <v>4.8967499999999983E-3</v>
      </c>
      <c r="L320" s="230">
        <f>Proj_Inputs!$B$46+(Proj_Inputs!$C$46-Proj_Inputs!$B$46)*F320</f>
        <v>-0.12945199999999998</v>
      </c>
      <c r="M320" s="230">
        <f>Proj_Inputs!$B$47+(Proj_Inputs!$C$47-Proj_Inputs!$B$47)*G320</f>
        <v>0.18025225</v>
      </c>
      <c r="N320" s="231">
        <f>(1+H320)*(Proj_Inputs!$B$20+J320)/Proj_Inputs!$B$20*((Proj_Inputs!$B$21+I320)*(1-Proj_Inputs!$B$24)*NPV_Pirelli!$B$47+NPV_Pirelli!$B$49)+(1+K320)*NPV_Pirelli!$B$48</f>
        <v>198.81612809369699</v>
      </c>
      <c r="O320" s="231">
        <f>(1+H320)*(Proj_Inputs!$C$20+L320)/Proj_Inputs!$C$20*((Proj_Inputs!$C$21+I320)*(1-Proj_Inputs!$C$24)*NPV_Hankook!$B$47+NPV_Hankook!$B$49)+(1+M320)*NPV_Hankook!$B$48</f>
        <v>-533.41968270388406</v>
      </c>
    </row>
    <row r="321" spans="1:15" x14ac:dyDescent="0.2">
      <c r="A321" s="228">
        <v>297</v>
      </c>
      <c r="B321" s="229">
        <v>8.6194999999999994E-2</v>
      </c>
      <c r="C321" s="229">
        <v>0.59407500000000002</v>
      </c>
      <c r="D321" s="229">
        <v>0.73483200000000004</v>
      </c>
      <c r="E321" s="229">
        <v>0.77553000000000005</v>
      </c>
      <c r="F321" s="229">
        <v>0.180423</v>
      </c>
      <c r="G321" s="229">
        <v>0.23844099999999999</v>
      </c>
      <c r="H321" s="230">
        <f>Proj_Inputs!$B$44+(Proj_Inputs!$C$44-Proj_Inputs!$B$44)*B321</f>
        <v>-8.2761000000000001E-2</v>
      </c>
      <c r="I321" s="230">
        <f>Proj_Inputs!$B$45+(Proj_Inputs!$C$45-Proj_Inputs!$B$45)*C321</f>
        <v>7.5260000000000049E-3</v>
      </c>
      <c r="J321" s="230">
        <f>Proj_Inputs!$B$46+(Proj_Inputs!$C$46-Proj_Inputs!$B$46)*D321</f>
        <v>-3.0335999999999697E-3</v>
      </c>
      <c r="K321" s="230">
        <f>Proj_Inputs!$B$47+(Proj_Inputs!$C$47-Proj_Inputs!$B$47)*E321</f>
        <v>0.14388250000000002</v>
      </c>
      <c r="L321" s="230">
        <f>Proj_Inputs!$B$46+(Proj_Inputs!$C$46-Proj_Inputs!$B$46)*F321</f>
        <v>-0.1139154</v>
      </c>
      <c r="M321" s="230">
        <f>Proj_Inputs!$B$47+(Proj_Inputs!$C$47-Proj_Inputs!$B$47)*G321</f>
        <v>9.6102499999999938E-3</v>
      </c>
      <c r="N321" s="231">
        <f>(1+H321)*(Proj_Inputs!$B$20+J321)/Proj_Inputs!$B$20*((Proj_Inputs!$B$21+I321)*(1-Proj_Inputs!$B$24)*NPV_Pirelli!$B$47+NPV_Pirelli!$B$49)+(1+K321)*NPV_Pirelli!$B$48</f>
        <v>231.97180353557292</v>
      </c>
      <c r="O321" s="231">
        <f>(1+H321)*(Proj_Inputs!$C$20+L321)/Proj_Inputs!$C$20*((Proj_Inputs!$C$21+I321)*(1-Proj_Inputs!$C$24)*NPV_Hankook!$B$47+NPV_Hankook!$B$49)+(1+M321)*NPV_Hankook!$B$48</f>
        <v>-273.0879766946033</v>
      </c>
    </row>
    <row r="322" spans="1:15" x14ac:dyDescent="0.2">
      <c r="A322" s="228">
        <v>298</v>
      </c>
      <c r="B322" s="229">
        <v>0.13189999999999999</v>
      </c>
      <c r="C322" s="229">
        <v>0.76389600000000002</v>
      </c>
      <c r="D322" s="229">
        <v>0.18176999999999999</v>
      </c>
      <c r="E322" s="229">
        <v>0.178032</v>
      </c>
      <c r="F322" s="229">
        <v>0.61806300000000003</v>
      </c>
      <c r="G322" s="229">
        <v>0.72674700000000003</v>
      </c>
      <c r="H322" s="230">
        <f>Proj_Inputs!$B$44+(Proj_Inputs!$C$44-Proj_Inputs!$B$44)*B322</f>
        <v>-7.3620000000000005E-2</v>
      </c>
      <c r="I322" s="230">
        <f>Proj_Inputs!$B$45+(Proj_Inputs!$C$45-Proj_Inputs!$B$45)*C322</f>
        <v>2.1111680000000001E-2</v>
      </c>
      <c r="J322" s="230">
        <f>Proj_Inputs!$B$46+(Proj_Inputs!$C$46-Proj_Inputs!$B$46)*D322</f>
        <v>-0.113646</v>
      </c>
      <c r="K322" s="230">
        <f>Proj_Inputs!$B$47+(Proj_Inputs!$C$47-Proj_Inputs!$B$47)*E322</f>
        <v>-5.4920000000000038E-3</v>
      </c>
      <c r="L322" s="230">
        <f>Proj_Inputs!$B$46+(Proj_Inputs!$C$46-Proj_Inputs!$B$46)*F322</f>
        <v>-2.6387399999999978E-2</v>
      </c>
      <c r="M322" s="230">
        <f>Proj_Inputs!$B$47+(Proj_Inputs!$C$47-Proj_Inputs!$B$47)*G322</f>
        <v>0.13168675000000002</v>
      </c>
      <c r="N322" s="231">
        <f>(1+H322)*(Proj_Inputs!$B$20+J322)/Proj_Inputs!$B$20*((Proj_Inputs!$B$21+I322)*(1-Proj_Inputs!$B$24)*NPV_Pirelli!$B$47+NPV_Pirelli!$B$49)+(1+K322)*NPV_Pirelli!$B$48</f>
        <v>287.8492228365958</v>
      </c>
      <c r="O322" s="231">
        <f>(1+H322)*(Proj_Inputs!$C$20+L322)/Proj_Inputs!$C$20*((Proj_Inputs!$C$21+I322)*(1-Proj_Inputs!$C$24)*NPV_Hankook!$B$47+NPV_Hankook!$B$49)+(1+M322)*NPV_Hankook!$B$48</f>
        <v>-221.02733469639588</v>
      </c>
    </row>
    <row r="323" spans="1:15" x14ac:dyDescent="0.2">
      <c r="A323" s="228">
        <v>299</v>
      </c>
      <c r="B323" s="229">
        <v>0.28243299999999999</v>
      </c>
      <c r="C323" s="229">
        <v>0.106612</v>
      </c>
      <c r="D323" s="229">
        <v>0.103993</v>
      </c>
      <c r="E323" s="229">
        <v>0.49244399999999999</v>
      </c>
      <c r="F323" s="229">
        <v>0.15962299999999999</v>
      </c>
      <c r="G323" s="229">
        <v>1.0021E-2</v>
      </c>
      <c r="H323" s="230">
        <f>Proj_Inputs!$B$44+(Proj_Inputs!$C$44-Proj_Inputs!$B$44)*B323</f>
        <v>-4.3513400000000008E-2</v>
      </c>
      <c r="I323" s="230">
        <f>Proj_Inputs!$B$45+(Proj_Inputs!$C$45-Proj_Inputs!$B$45)*C323</f>
        <v>-3.1471039999999999E-2</v>
      </c>
      <c r="J323" s="230">
        <f>Proj_Inputs!$B$46+(Proj_Inputs!$C$46-Proj_Inputs!$B$46)*D323</f>
        <v>-0.12920139999999999</v>
      </c>
      <c r="K323" s="230">
        <f>Proj_Inputs!$B$47+(Proj_Inputs!$C$47-Proj_Inputs!$B$47)*E323</f>
        <v>7.3110999999999995E-2</v>
      </c>
      <c r="L323" s="230">
        <f>Proj_Inputs!$B$46+(Proj_Inputs!$C$46-Proj_Inputs!$B$46)*F323</f>
        <v>-0.1180754</v>
      </c>
      <c r="M323" s="230">
        <f>Proj_Inputs!$B$47+(Proj_Inputs!$C$47-Proj_Inputs!$B$47)*G323</f>
        <v>-4.7494750000000002E-2</v>
      </c>
      <c r="N323" s="231">
        <f>(1+H323)*(Proj_Inputs!$B$20+J323)/Proj_Inputs!$B$20*((Proj_Inputs!$B$21+I323)*(1-Proj_Inputs!$B$24)*NPV_Pirelli!$B$47+NPV_Pirelli!$B$49)+(1+K323)*NPV_Pirelli!$B$48</f>
        <v>-27.641645885962703</v>
      </c>
      <c r="O323" s="231">
        <f>(1+H323)*(Proj_Inputs!$C$20+L323)/Proj_Inputs!$C$20*((Proj_Inputs!$C$21+I323)*(1-Proj_Inputs!$C$24)*NPV_Hankook!$B$47+NPV_Hankook!$B$49)+(1+M323)*NPV_Hankook!$B$48</f>
        <v>-395.1497115890819</v>
      </c>
    </row>
    <row r="324" spans="1:15" x14ac:dyDescent="0.2">
      <c r="A324" s="228">
        <v>300</v>
      </c>
      <c r="B324" s="229">
        <v>2.9342E-2</v>
      </c>
      <c r="C324" s="229">
        <v>0.204237</v>
      </c>
      <c r="D324" s="229">
        <v>0.21002599999999999</v>
      </c>
      <c r="E324" s="229">
        <v>4.7104E-2</v>
      </c>
      <c r="F324" s="229">
        <v>0.22764999999999999</v>
      </c>
      <c r="G324" s="229">
        <v>0.18582799999999999</v>
      </c>
      <c r="H324" s="230">
        <f>Proj_Inputs!$B$44+(Proj_Inputs!$C$44-Proj_Inputs!$B$44)*B324</f>
        <v>-9.413160000000001E-2</v>
      </c>
      <c r="I324" s="230">
        <f>Proj_Inputs!$B$45+(Proj_Inputs!$C$45-Proj_Inputs!$B$45)*C324</f>
        <v>-2.3661040000000001E-2</v>
      </c>
      <c r="J324" s="230">
        <f>Proj_Inputs!$B$46+(Proj_Inputs!$C$46-Proj_Inputs!$B$46)*D324</f>
        <v>-0.1079948</v>
      </c>
      <c r="K324" s="230">
        <f>Proj_Inputs!$B$47+(Proj_Inputs!$C$47-Proj_Inputs!$B$47)*E324</f>
        <v>-3.8224000000000001E-2</v>
      </c>
      <c r="L324" s="230">
        <f>Proj_Inputs!$B$46+(Proj_Inputs!$C$46-Proj_Inputs!$B$46)*F324</f>
        <v>-0.10446999999999999</v>
      </c>
      <c r="M324" s="230">
        <f>Proj_Inputs!$B$47+(Proj_Inputs!$C$47-Proj_Inputs!$B$47)*G324</f>
        <v>-3.5430000000000045E-3</v>
      </c>
      <c r="N324" s="231">
        <f>(1+H324)*(Proj_Inputs!$B$20+J324)/Proj_Inputs!$B$20*((Proj_Inputs!$B$21+I324)*(1-Proj_Inputs!$B$24)*NPV_Pirelli!$B$47+NPV_Pirelli!$B$49)+(1+K324)*NPV_Pirelli!$B$48</f>
        <v>76.659299137063044</v>
      </c>
      <c r="O324" s="231">
        <f>(1+H324)*(Proj_Inputs!$C$20+L324)/Proj_Inputs!$C$20*((Proj_Inputs!$C$21+I324)*(1-Proj_Inputs!$C$24)*NPV_Hankook!$B$47+NPV_Hankook!$B$49)+(1+M324)*NPV_Hankook!$B$48</f>
        <v>-429.40173379571229</v>
      </c>
    </row>
    <row r="325" spans="1:15" x14ac:dyDescent="0.2">
      <c r="A325" s="228">
        <v>301</v>
      </c>
      <c r="B325" s="229">
        <v>0.13617099999999999</v>
      </c>
      <c r="C325" s="229">
        <v>0.52059100000000003</v>
      </c>
      <c r="D325" s="229">
        <v>0.68436200000000003</v>
      </c>
      <c r="E325" s="229">
        <v>0.37380000000000002</v>
      </c>
      <c r="F325" s="229">
        <v>0.78923200000000004</v>
      </c>
      <c r="G325" s="229">
        <v>0.87215299999999996</v>
      </c>
      <c r="H325" s="230">
        <f>Proj_Inputs!$B$44+(Proj_Inputs!$C$44-Proj_Inputs!$B$44)*B325</f>
        <v>-7.2765800000000005E-2</v>
      </c>
      <c r="I325" s="230">
        <f>Proj_Inputs!$B$45+(Proj_Inputs!$C$45-Proj_Inputs!$B$45)*C325</f>
        <v>1.647280000000001E-3</v>
      </c>
      <c r="J325" s="230">
        <f>Proj_Inputs!$B$46+(Proj_Inputs!$C$46-Proj_Inputs!$B$46)*D325</f>
        <v>-1.3127599999999989E-2</v>
      </c>
      <c r="K325" s="230">
        <f>Proj_Inputs!$B$47+(Proj_Inputs!$C$47-Proj_Inputs!$B$47)*E325</f>
        <v>4.3450000000000003E-2</v>
      </c>
      <c r="L325" s="230">
        <f>Proj_Inputs!$B$46+(Proj_Inputs!$C$46-Proj_Inputs!$B$46)*F325</f>
        <v>7.8464000000000311E-3</v>
      </c>
      <c r="M325" s="230">
        <f>Proj_Inputs!$B$47+(Proj_Inputs!$C$47-Proj_Inputs!$B$47)*G325</f>
        <v>0.16803825</v>
      </c>
      <c r="N325" s="231">
        <f>(1+H325)*(Proj_Inputs!$B$20+J325)/Proj_Inputs!$B$20*((Proj_Inputs!$B$21+I325)*(1-Proj_Inputs!$B$24)*NPV_Pirelli!$B$47+NPV_Pirelli!$B$49)+(1+K325)*NPV_Pirelli!$B$48</f>
        <v>277.37579676139126</v>
      </c>
      <c r="O325" s="231">
        <f>(1+H325)*(Proj_Inputs!$C$20+L325)/Proj_Inputs!$C$20*((Proj_Inputs!$C$21+I325)*(1-Proj_Inputs!$C$24)*NPV_Hankook!$B$47+NPV_Hankook!$B$49)+(1+M325)*NPV_Hankook!$B$48</f>
        <v>-344.10275011755959</v>
      </c>
    </row>
    <row r="326" spans="1:15" x14ac:dyDescent="0.2">
      <c r="A326" s="228">
        <v>302</v>
      </c>
      <c r="B326" s="229">
        <v>0.56792600000000004</v>
      </c>
      <c r="C326" s="229">
        <v>0.21306700000000001</v>
      </c>
      <c r="D326" s="229">
        <v>0.53569199999999995</v>
      </c>
      <c r="E326" s="229">
        <v>0.28454299999999999</v>
      </c>
      <c r="F326" s="229">
        <v>0.66410400000000003</v>
      </c>
      <c r="G326" s="229">
        <v>0.37978400000000001</v>
      </c>
      <c r="H326" s="230">
        <f>Proj_Inputs!$B$44+(Proj_Inputs!$C$44-Proj_Inputs!$B$44)*B326</f>
        <v>1.3585200000000006E-2</v>
      </c>
      <c r="I326" s="230">
        <f>Proj_Inputs!$B$45+(Proj_Inputs!$C$45-Proj_Inputs!$B$45)*C326</f>
        <v>-2.2954639999999998E-2</v>
      </c>
      <c r="J326" s="230">
        <f>Proj_Inputs!$B$46+(Proj_Inputs!$C$46-Proj_Inputs!$B$46)*D326</f>
        <v>-4.28616E-2</v>
      </c>
      <c r="K326" s="230">
        <f>Proj_Inputs!$B$47+(Proj_Inputs!$C$47-Proj_Inputs!$B$47)*E326</f>
        <v>2.1135749999999995E-2</v>
      </c>
      <c r="L326" s="230">
        <f>Proj_Inputs!$B$46+(Proj_Inputs!$C$46-Proj_Inputs!$B$46)*F326</f>
        <v>-1.7179199999999978E-2</v>
      </c>
      <c r="M326" s="230">
        <f>Proj_Inputs!$B$47+(Proj_Inputs!$C$47-Proj_Inputs!$B$47)*G326</f>
        <v>4.4946E-2</v>
      </c>
      <c r="N326" s="231">
        <f>(1+H326)*(Proj_Inputs!$B$20+J326)/Proj_Inputs!$B$20*((Proj_Inputs!$B$21+I326)*(1-Proj_Inputs!$B$24)*NPV_Pirelli!$B$47+NPV_Pirelli!$B$49)+(1+K326)*NPV_Pirelli!$B$48</f>
        <v>210.17922676594185</v>
      </c>
      <c r="O326" s="231">
        <f>(1+H326)*(Proj_Inputs!$C$20+L326)/Proj_Inputs!$C$20*((Proj_Inputs!$C$21+I326)*(1-Proj_Inputs!$C$24)*NPV_Hankook!$B$47+NPV_Hankook!$B$49)+(1+M326)*NPV_Hankook!$B$48</f>
        <v>-304.6189442254888</v>
      </c>
    </row>
    <row r="327" spans="1:15" x14ac:dyDescent="0.2">
      <c r="A327" s="228">
        <v>303</v>
      </c>
      <c r="B327" s="229">
        <v>0.31641000000000002</v>
      </c>
      <c r="C327" s="229">
        <v>0.55738699999999997</v>
      </c>
      <c r="D327" s="229">
        <v>0.81213100000000005</v>
      </c>
      <c r="E327" s="229">
        <v>0.43397599999999997</v>
      </c>
      <c r="F327" s="229">
        <v>0.40492499999999998</v>
      </c>
      <c r="G327" s="229">
        <v>8.5514000000000007E-2</v>
      </c>
      <c r="H327" s="230">
        <f>Proj_Inputs!$B$44+(Proj_Inputs!$C$44-Proj_Inputs!$B$44)*B327</f>
        <v>-3.6718000000000001E-2</v>
      </c>
      <c r="I327" s="230">
        <f>Proj_Inputs!$B$45+(Proj_Inputs!$C$45-Proj_Inputs!$B$45)*C327</f>
        <v>4.5909599999999981E-3</v>
      </c>
      <c r="J327" s="230">
        <f>Proj_Inputs!$B$46+(Proj_Inputs!$C$46-Proj_Inputs!$B$46)*D327</f>
        <v>1.2426200000000026E-2</v>
      </c>
      <c r="K327" s="230">
        <f>Proj_Inputs!$B$47+(Proj_Inputs!$C$47-Proj_Inputs!$B$47)*E327</f>
        <v>5.849399999999999E-2</v>
      </c>
      <c r="L327" s="230">
        <f>Proj_Inputs!$B$46+(Proj_Inputs!$C$46-Proj_Inputs!$B$46)*F327</f>
        <v>-6.9014999999999993E-2</v>
      </c>
      <c r="M327" s="230">
        <f>Proj_Inputs!$B$47+(Proj_Inputs!$C$47-Proj_Inputs!$B$47)*G327</f>
        <v>-2.8621500000000001E-2</v>
      </c>
      <c r="N327" s="231">
        <f>(1+H327)*(Proj_Inputs!$B$20+J327)/Proj_Inputs!$B$20*((Proj_Inputs!$B$21+I327)*(1-Proj_Inputs!$B$24)*NPV_Pirelli!$B$47+NPV_Pirelli!$B$49)+(1+K327)*NPV_Pirelli!$B$48</f>
        <v>358.98935602711822</v>
      </c>
      <c r="O327" s="231">
        <f>(1+H327)*(Proj_Inputs!$C$20+L327)/Proj_Inputs!$C$20*((Proj_Inputs!$C$21+I327)*(1-Proj_Inputs!$C$24)*NPV_Hankook!$B$47+NPV_Hankook!$B$49)+(1+M327)*NPV_Hankook!$B$48</f>
        <v>-147.18327431381863</v>
      </c>
    </row>
    <row r="328" spans="1:15" x14ac:dyDescent="0.2">
      <c r="A328" s="228">
        <v>304</v>
      </c>
      <c r="B328" s="229">
        <v>0.65045699999999995</v>
      </c>
      <c r="C328" s="229">
        <v>0.99763999999999997</v>
      </c>
      <c r="D328" s="229">
        <v>3.2443E-2</v>
      </c>
      <c r="E328" s="229">
        <v>0.50661500000000004</v>
      </c>
      <c r="F328" s="229">
        <v>0.85768599999999995</v>
      </c>
      <c r="G328" s="229">
        <v>0.61960899999999997</v>
      </c>
      <c r="H328" s="230">
        <f>Proj_Inputs!$B$44+(Proj_Inputs!$C$44-Proj_Inputs!$B$44)*B328</f>
        <v>3.009139999999999E-2</v>
      </c>
      <c r="I328" s="230">
        <f>Proj_Inputs!$B$45+(Proj_Inputs!$C$45-Proj_Inputs!$B$45)*C328</f>
        <v>3.9811199999999998E-2</v>
      </c>
      <c r="J328" s="230">
        <f>Proj_Inputs!$B$46+(Proj_Inputs!$C$46-Proj_Inputs!$B$46)*D328</f>
        <v>-0.14351139999999998</v>
      </c>
      <c r="K328" s="230">
        <f>Proj_Inputs!$B$47+(Proj_Inputs!$C$47-Proj_Inputs!$B$47)*E328</f>
        <v>7.6653750000000007E-2</v>
      </c>
      <c r="L328" s="230">
        <f>Proj_Inputs!$B$46+(Proj_Inputs!$C$46-Proj_Inputs!$B$46)*F328</f>
        <v>2.1537200000000006E-2</v>
      </c>
      <c r="M328" s="230">
        <f>Proj_Inputs!$B$47+(Proj_Inputs!$C$47-Proj_Inputs!$B$47)*G328</f>
        <v>0.10490224999999999</v>
      </c>
      <c r="N328" s="231">
        <f>(1+H328)*(Proj_Inputs!$B$20+J328)/Proj_Inputs!$B$20*((Proj_Inputs!$B$21+I328)*(1-Proj_Inputs!$B$24)*NPV_Pirelli!$B$47+NPV_Pirelli!$B$49)+(1+K328)*NPV_Pirelli!$B$48</f>
        <v>397.98110210099765</v>
      </c>
      <c r="O328" s="231">
        <f>(1+H328)*(Proj_Inputs!$C$20+L328)/Proj_Inputs!$C$20*((Proj_Inputs!$C$21+I328)*(1-Proj_Inputs!$C$24)*NPV_Hankook!$B$47+NPV_Hankook!$B$49)+(1+M328)*NPV_Hankook!$B$48</f>
        <v>134.76263385746279</v>
      </c>
    </row>
    <row r="329" spans="1:15" x14ac:dyDescent="0.2">
      <c r="A329" s="228">
        <v>305</v>
      </c>
      <c r="B329" s="229">
        <v>0.85829500000000003</v>
      </c>
      <c r="C329" s="229">
        <v>0.99800699999999998</v>
      </c>
      <c r="D329" s="229">
        <v>0.50596399999999997</v>
      </c>
      <c r="E329" s="229">
        <v>0.82327300000000003</v>
      </c>
      <c r="F329" s="229">
        <v>0.974495</v>
      </c>
      <c r="G329" s="229">
        <v>0.74387400000000004</v>
      </c>
      <c r="H329" s="230">
        <f>Proj_Inputs!$B$44+(Proj_Inputs!$C$44-Proj_Inputs!$B$44)*B329</f>
        <v>7.1659E-2</v>
      </c>
      <c r="I329" s="230">
        <f>Proj_Inputs!$B$45+(Proj_Inputs!$C$45-Proj_Inputs!$B$45)*C329</f>
        <v>3.9840560000000004E-2</v>
      </c>
      <c r="J329" s="230">
        <f>Proj_Inputs!$B$46+(Proj_Inputs!$C$46-Proj_Inputs!$B$46)*D329</f>
        <v>-4.8807199999999995E-2</v>
      </c>
      <c r="K329" s="230">
        <f>Proj_Inputs!$B$47+(Proj_Inputs!$C$47-Proj_Inputs!$B$47)*E329</f>
        <v>0.15581824999999999</v>
      </c>
      <c r="L329" s="230">
        <f>Proj_Inputs!$B$46+(Proj_Inputs!$C$46-Proj_Inputs!$B$46)*F329</f>
        <v>4.4899000000000022E-2</v>
      </c>
      <c r="M329" s="230">
        <f>Proj_Inputs!$B$47+(Proj_Inputs!$C$47-Proj_Inputs!$B$47)*G329</f>
        <v>0.13596849999999999</v>
      </c>
      <c r="N329" s="231">
        <f>(1+H329)*(Proj_Inputs!$B$20+J329)/Proj_Inputs!$B$20*((Proj_Inputs!$B$21+I329)*(1-Proj_Inputs!$B$24)*NPV_Pirelli!$B$47+NPV_Pirelli!$B$49)+(1+K329)*NPV_Pirelli!$B$48</f>
        <v>548.44607415715598</v>
      </c>
      <c r="O329" s="231">
        <f>(1+H329)*(Proj_Inputs!$C$20+L329)/Proj_Inputs!$C$20*((Proj_Inputs!$C$21+I329)*(1-Proj_Inputs!$C$24)*NPV_Hankook!$B$47+NPV_Hankook!$B$49)+(1+M329)*NPV_Hankook!$B$48</f>
        <v>193.60895832659025</v>
      </c>
    </row>
    <row r="330" spans="1:15" x14ac:dyDescent="0.2">
      <c r="A330" s="228">
        <v>306</v>
      </c>
      <c r="B330" s="229">
        <v>0.97911300000000001</v>
      </c>
      <c r="C330" s="229">
        <v>0.21676400000000001</v>
      </c>
      <c r="D330" s="229">
        <v>0.95118000000000003</v>
      </c>
      <c r="E330" s="229">
        <v>0.54010400000000003</v>
      </c>
      <c r="F330" s="229">
        <v>4.3344000000000001E-2</v>
      </c>
      <c r="G330" s="229">
        <v>0.35158499999999998</v>
      </c>
      <c r="H330" s="230">
        <f>Proj_Inputs!$B$44+(Proj_Inputs!$C$44-Proj_Inputs!$B$44)*B330</f>
        <v>9.5822600000000008E-2</v>
      </c>
      <c r="I330" s="230">
        <f>Proj_Inputs!$B$45+(Proj_Inputs!$C$45-Proj_Inputs!$B$45)*C330</f>
        <v>-2.2658879999999999E-2</v>
      </c>
      <c r="J330" s="230">
        <f>Proj_Inputs!$B$46+(Proj_Inputs!$C$46-Proj_Inputs!$B$46)*D330</f>
        <v>4.0236000000000022E-2</v>
      </c>
      <c r="K330" s="230">
        <f>Proj_Inputs!$B$47+(Proj_Inputs!$C$47-Proj_Inputs!$B$47)*E330</f>
        <v>8.5026000000000004E-2</v>
      </c>
      <c r="L330" s="230">
        <f>Proj_Inputs!$B$46+(Proj_Inputs!$C$46-Proj_Inputs!$B$46)*F330</f>
        <v>-0.14133119999999999</v>
      </c>
      <c r="M330" s="230">
        <f>Proj_Inputs!$B$47+(Proj_Inputs!$C$47-Proj_Inputs!$B$47)*G330</f>
        <v>3.7896249999999992E-2</v>
      </c>
      <c r="N330" s="231">
        <f>(1+H330)*(Proj_Inputs!$B$20+J330)/Proj_Inputs!$B$20*((Proj_Inputs!$B$21+I330)*(1-Proj_Inputs!$B$24)*NPV_Pirelli!$B$47+NPV_Pirelli!$B$49)+(1+K330)*NPV_Pirelli!$B$48</f>
        <v>350.67936897569552</v>
      </c>
      <c r="O330" s="231">
        <f>(1+H330)*(Proj_Inputs!$C$20+L330)/Proj_Inputs!$C$20*((Proj_Inputs!$C$21+I330)*(1-Proj_Inputs!$C$24)*NPV_Hankook!$B$47+NPV_Hankook!$B$49)+(1+M330)*NPV_Hankook!$B$48</f>
        <v>-359.1391241562269</v>
      </c>
    </row>
    <row r="331" spans="1:15" x14ac:dyDescent="0.2">
      <c r="A331" s="228">
        <v>307</v>
      </c>
      <c r="B331" s="229">
        <v>0.17982999999999999</v>
      </c>
      <c r="C331" s="229">
        <v>0.28467399999999998</v>
      </c>
      <c r="D331" s="229">
        <v>0.463368</v>
      </c>
      <c r="E331" s="229">
        <v>0.36331999999999998</v>
      </c>
      <c r="F331" s="229">
        <v>0.64719300000000002</v>
      </c>
      <c r="G331" s="229">
        <v>0.18915399999999999</v>
      </c>
      <c r="H331" s="230">
        <f>Proj_Inputs!$B$44+(Proj_Inputs!$C$44-Proj_Inputs!$B$44)*B331</f>
        <v>-6.4034000000000008E-2</v>
      </c>
      <c r="I331" s="230">
        <f>Proj_Inputs!$B$45+(Proj_Inputs!$C$45-Proj_Inputs!$B$45)*C331</f>
        <v>-1.7226080000000001E-2</v>
      </c>
      <c r="J331" s="230">
        <f>Proj_Inputs!$B$46+(Proj_Inputs!$C$46-Proj_Inputs!$B$46)*D331</f>
        <v>-5.7326399999999986E-2</v>
      </c>
      <c r="K331" s="230">
        <f>Proj_Inputs!$B$47+(Proj_Inputs!$C$47-Proj_Inputs!$B$47)*E331</f>
        <v>4.0829999999999991E-2</v>
      </c>
      <c r="L331" s="230">
        <f>Proj_Inputs!$B$46+(Proj_Inputs!$C$46-Proj_Inputs!$B$46)*F331</f>
        <v>-2.056139999999998E-2</v>
      </c>
      <c r="M331" s="230">
        <f>Proj_Inputs!$B$47+(Proj_Inputs!$C$47-Proj_Inputs!$B$47)*G331</f>
        <v>-2.7115000000000056E-3</v>
      </c>
      <c r="N331" s="231">
        <f>(1+H331)*(Proj_Inputs!$B$20+J331)/Proj_Inputs!$B$20*((Proj_Inputs!$B$21+I331)*(1-Proj_Inputs!$B$24)*NPV_Pirelli!$B$47+NPV_Pirelli!$B$49)+(1+K331)*NPV_Pirelli!$B$48</f>
        <v>132.14704526170192</v>
      </c>
      <c r="O331" s="231">
        <f>(1+H331)*(Proj_Inputs!$C$20+L331)/Proj_Inputs!$C$20*((Proj_Inputs!$C$21+I331)*(1-Proj_Inputs!$C$24)*NPV_Hankook!$B$47+NPV_Hankook!$B$49)+(1+M331)*NPV_Hankook!$B$48</f>
        <v>-286.25734007142864</v>
      </c>
    </row>
    <row r="332" spans="1:15" x14ac:dyDescent="0.2">
      <c r="A332" s="228">
        <v>308</v>
      </c>
      <c r="B332" s="229">
        <v>0.53976999999999997</v>
      </c>
      <c r="C332" s="229">
        <v>0.84646299999999997</v>
      </c>
      <c r="D332" s="229">
        <v>0.35602699999999998</v>
      </c>
      <c r="E332" s="229">
        <v>4.9916000000000002E-2</v>
      </c>
      <c r="F332" s="229">
        <v>0.37355500000000003</v>
      </c>
      <c r="G332" s="229">
        <v>0.99402900000000005</v>
      </c>
      <c r="H332" s="230">
        <f>Proj_Inputs!$B$44+(Proj_Inputs!$C$44-Proj_Inputs!$B$44)*B332</f>
        <v>7.9539999999999889E-3</v>
      </c>
      <c r="I332" s="230">
        <f>Proj_Inputs!$B$45+(Proj_Inputs!$C$45-Proj_Inputs!$B$45)*C332</f>
        <v>2.7717039999999991E-2</v>
      </c>
      <c r="J332" s="230">
        <f>Proj_Inputs!$B$46+(Proj_Inputs!$C$46-Proj_Inputs!$B$46)*D332</f>
        <v>-7.8794599999999992E-2</v>
      </c>
      <c r="K332" s="230">
        <f>Proj_Inputs!$B$47+(Proj_Inputs!$C$47-Proj_Inputs!$B$47)*E332</f>
        <v>-3.7520999999999999E-2</v>
      </c>
      <c r="L332" s="230">
        <f>Proj_Inputs!$B$46+(Proj_Inputs!$C$46-Proj_Inputs!$B$46)*F332</f>
        <v>-7.5288999999999981E-2</v>
      </c>
      <c r="M332" s="230">
        <f>Proj_Inputs!$B$47+(Proj_Inputs!$C$47-Proj_Inputs!$B$47)*G332</f>
        <v>0.19850725000000002</v>
      </c>
      <c r="N332" s="231">
        <f>(1+H332)*(Proj_Inputs!$B$20+J332)/Proj_Inputs!$B$20*((Proj_Inputs!$B$21+I332)*(1-Proj_Inputs!$B$24)*NPV_Pirelli!$B$47+NPV_Pirelli!$B$49)+(1+K332)*NPV_Pirelli!$B$48</f>
        <v>496.75419242834255</v>
      </c>
      <c r="O332" s="231">
        <f>(1+H332)*(Proj_Inputs!$C$20+L332)/Proj_Inputs!$C$20*((Proj_Inputs!$C$21+I332)*(1-Proj_Inputs!$C$24)*NPV_Hankook!$B$47+NPV_Hankook!$B$49)+(1+M332)*NPV_Hankook!$B$48</f>
        <v>-227.2057703878113</v>
      </c>
    </row>
    <row r="333" spans="1:15" x14ac:dyDescent="0.2">
      <c r="A333" s="228">
        <v>309</v>
      </c>
      <c r="B333" s="229">
        <v>0.35913099999999998</v>
      </c>
      <c r="C333" s="229">
        <v>0.64738899999999999</v>
      </c>
      <c r="D333" s="229">
        <v>0.69319299999999995</v>
      </c>
      <c r="E333" s="229">
        <v>0.90839700000000001</v>
      </c>
      <c r="F333" s="229">
        <v>0.83094400000000002</v>
      </c>
      <c r="G333" s="229">
        <v>0.80415199999999998</v>
      </c>
      <c r="H333" s="230">
        <f>Proj_Inputs!$B$44+(Proj_Inputs!$C$44-Proj_Inputs!$B$44)*B333</f>
        <v>-2.8173800000000013E-2</v>
      </c>
      <c r="I333" s="230">
        <f>Proj_Inputs!$B$45+(Proj_Inputs!$C$45-Proj_Inputs!$B$45)*C333</f>
        <v>1.1791120000000002E-2</v>
      </c>
      <c r="J333" s="230">
        <f>Proj_Inputs!$B$46+(Proj_Inputs!$C$46-Proj_Inputs!$B$46)*D333</f>
        <v>-1.1361399999999994E-2</v>
      </c>
      <c r="K333" s="230">
        <f>Proj_Inputs!$B$47+(Proj_Inputs!$C$47-Proj_Inputs!$B$47)*E333</f>
        <v>0.17709924999999999</v>
      </c>
      <c r="L333" s="230">
        <f>Proj_Inputs!$B$46+(Proj_Inputs!$C$46-Proj_Inputs!$B$46)*F333</f>
        <v>1.6188800000000031E-2</v>
      </c>
      <c r="M333" s="230">
        <f>Proj_Inputs!$B$47+(Proj_Inputs!$C$47-Proj_Inputs!$B$47)*G333</f>
        <v>0.15103800000000001</v>
      </c>
      <c r="N333" s="231">
        <f>(1+H333)*(Proj_Inputs!$B$20+J333)/Proj_Inputs!$B$20*((Proj_Inputs!$B$21+I333)*(1-Proj_Inputs!$B$24)*NPV_Pirelli!$B$47+NPV_Pirelli!$B$49)+(1+K333)*NPV_Pirelli!$B$48</f>
        <v>287.4228580455873</v>
      </c>
      <c r="O333" s="231">
        <f>(1+H333)*(Proj_Inputs!$C$20+L333)/Proj_Inputs!$C$20*((Proj_Inputs!$C$21+I333)*(1-Proj_Inputs!$C$24)*NPV_Hankook!$B$47+NPV_Hankook!$B$49)+(1+M333)*NPV_Hankook!$B$48</f>
        <v>-196.98188837615635</v>
      </c>
    </row>
    <row r="334" spans="1:15" x14ac:dyDescent="0.2">
      <c r="A334" s="228">
        <v>310</v>
      </c>
      <c r="B334" s="229">
        <v>0.64151199999999997</v>
      </c>
      <c r="C334" s="229">
        <v>2.1894E-2</v>
      </c>
      <c r="D334" s="229">
        <v>0.31834000000000001</v>
      </c>
      <c r="E334" s="229">
        <v>0.80017000000000005</v>
      </c>
      <c r="F334" s="229">
        <v>6.6907999999999995E-2</v>
      </c>
      <c r="G334" s="229">
        <v>0.26855899999999999</v>
      </c>
      <c r="H334" s="230">
        <f>Proj_Inputs!$B$44+(Proj_Inputs!$C$44-Proj_Inputs!$B$44)*B334</f>
        <v>2.8302400000000005E-2</v>
      </c>
      <c r="I334" s="230">
        <f>Proj_Inputs!$B$45+(Proj_Inputs!$C$45-Proj_Inputs!$B$45)*C334</f>
        <v>-3.8248480000000001E-2</v>
      </c>
      <c r="J334" s="230">
        <f>Proj_Inputs!$B$46+(Proj_Inputs!$C$46-Proj_Inputs!$B$46)*D334</f>
        <v>-8.6331999999999992E-2</v>
      </c>
      <c r="K334" s="230">
        <f>Proj_Inputs!$B$47+(Proj_Inputs!$C$47-Proj_Inputs!$B$47)*E334</f>
        <v>0.15004250000000002</v>
      </c>
      <c r="L334" s="230">
        <f>Proj_Inputs!$B$46+(Proj_Inputs!$C$46-Proj_Inputs!$B$46)*F334</f>
        <v>-0.1366184</v>
      </c>
      <c r="M334" s="230">
        <f>Proj_Inputs!$B$47+(Proj_Inputs!$C$47-Proj_Inputs!$B$47)*G334</f>
        <v>1.7139749999999995E-2</v>
      </c>
      <c r="N334" s="231">
        <f>(1+H334)*(Proj_Inputs!$B$20+J334)/Proj_Inputs!$B$20*((Proj_Inputs!$B$21+I334)*(1-Proj_Inputs!$B$24)*NPV_Pirelli!$B$47+NPV_Pirelli!$B$49)+(1+K334)*NPV_Pirelli!$B$48</f>
        <v>-16.893292584279493</v>
      </c>
      <c r="O334" s="231">
        <f>(1+H334)*(Proj_Inputs!$C$20+L334)/Proj_Inputs!$C$20*((Proj_Inputs!$C$21+I334)*(1-Proj_Inputs!$C$24)*NPV_Hankook!$B$47+NPV_Hankook!$B$49)+(1+M334)*NPV_Hankook!$B$48</f>
        <v>-475.49946360181582</v>
      </c>
    </row>
    <row r="335" spans="1:15" x14ac:dyDescent="0.2">
      <c r="A335" s="228">
        <v>311</v>
      </c>
      <c r="B335" s="229">
        <v>0.33927000000000002</v>
      </c>
      <c r="C335" s="229">
        <v>0.69001100000000004</v>
      </c>
      <c r="D335" s="229">
        <v>0.76454299999999997</v>
      </c>
      <c r="E335" s="229">
        <v>0.85970599999999997</v>
      </c>
      <c r="F335" s="229">
        <v>0.96728400000000003</v>
      </c>
      <c r="G335" s="229">
        <v>0.34993000000000002</v>
      </c>
      <c r="H335" s="230">
        <f>Proj_Inputs!$B$44+(Proj_Inputs!$C$44-Proj_Inputs!$B$44)*B335</f>
        <v>-3.2145999999999994E-2</v>
      </c>
      <c r="I335" s="230">
        <f>Proj_Inputs!$B$45+(Proj_Inputs!$C$45-Proj_Inputs!$B$45)*C335</f>
        <v>1.5200880000000007E-2</v>
      </c>
      <c r="J335" s="230">
        <f>Proj_Inputs!$B$46+(Proj_Inputs!$C$46-Proj_Inputs!$B$46)*D335</f>
        <v>2.9086000000000112E-3</v>
      </c>
      <c r="K335" s="230">
        <f>Proj_Inputs!$B$47+(Proj_Inputs!$C$47-Proj_Inputs!$B$47)*E335</f>
        <v>0.16492649999999998</v>
      </c>
      <c r="L335" s="230">
        <f>Proj_Inputs!$B$46+(Proj_Inputs!$C$46-Proj_Inputs!$B$46)*F335</f>
        <v>4.3456800000000018E-2</v>
      </c>
      <c r="M335" s="230">
        <f>Proj_Inputs!$B$47+(Proj_Inputs!$C$47-Proj_Inputs!$B$47)*G335</f>
        <v>3.7482500000000002E-2</v>
      </c>
      <c r="N335" s="231">
        <f>(1+H335)*(Proj_Inputs!$B$20+J335)/Proj_Inputs!$B$20*((Proj_Inputs!$B$21+I335)*(1-Proj_Inputs!$B$24)*NPV_Pirelli!$B$47+NPV_Pirelli!$B$49)+(1+K335)*NPV_Pirelli!$B$48</f>
        <v>331.97006128686292</v>
      </c>
      <c r="O335" s="231">
        <f>(1+H335)*(Proj_Inputs!$C$20+L335)/Proj_Inputs!$C$20*((Proj_Inputs!$C$21+I335)*(1-Proj_Inputs!$C$24)*NPV_Hankook!$B$47+NPV_Hankook!$B$49)+(1+M335)*NPV_Hankook!$B$48</f>
        <v>-11.99066662895234</v>
      </c>
    </row>
    <row r="336" spans="1:15" x14ac:dyDescent="0.2">
      <c r="A336" s="228">
        <v>312</v>
      </c>
      <c r="B336" s="229">
        <v>0.88434100000000004</v>
      </c>
      <c r="C336" s="229">
        <v>9.4153000000000001E-2</v>
      </c>
      <c r="D336" s="229">
        <v>0.142675</v>
      </c>
      <c r="E336" s="229">
        <v>0.62779499999999999</v>
      </c>
      <c r="F336" s="229">
        <v>0.54303500000000005</v>
      </c>
      <c r="G336" s="229">
        <v>0.43744499999999997</v>
      </c>
      <c r="H336" s="230">
        <f>Proj_Inputs!$B$44+(Proj_Inputs!$C$44-Proj_Inputs!$B$44)*B336</f>
        <v>7.6868200000000025E-2</v>
      </c>
      <c r="I336" s="230">
        <f>Proj_Inputs!$B$45+(Proj_Inputs!$C$45-Proj_Inputs!$B$45)*C336</f>
        <v>-3.2467759999999998E-2</v>
      </c>
      <c r="J336" s="230">
        <f>Proj_Inputs!$B$46+(Proj_Inputs!$C$46-Proj_Inputs!$B$46)*D336</f>
        <v>-0.12146499999999999</v>
      </c>
      <c r="K336" s="230">
        <f>Proj_Inputs!$B$47+(Proj_Inputs!$C$47-Proj_Inputs!$B$47)*E336</f>
        <v>0.10694875</v>
      </c>
      <c r="L336" s="230">
        <f>Proj_Inputs!$B$46+(Proj_Inputs!$C$46-Proj_Inputs!$B$46)*F336</f>
        <v>-4.1392999999999985E-2</v>
      </c>
      <c r="M336" s="230">
        <f>Proj_Inputs!$B$47+(Proj_Inputs!$C$47-Proj_Inputs!$B$47)*G336</f>
        <v>5.936124999999999E-2</v>
      </c>
      <c r="N336" s="231">
        <f>(1+H336)*(Proj_Inputs!$B$20+J336)/Proj_Inputs!$B$20*((Proj_Inputs!$B$21+I336)*(1-Proj_Inputs!$B$24)*NPV_Pirelli!$B$47+NPV_Pirelli!$B$49)+(1+K336)*NPV_Pirelli!$B$48</f>
        <v>52.181281778969037</v>
      </c>
      <c r="O336" s="231">
        <f>(1+H336)*(Proj_Inputs!$C$20+L336)/Proj_Inputs!$C$20*((Proj_Inputs!$C$21+I336)*(1-Proj_Inputs!$C$24)*NPV_Hankook!$B$47+NPV_Hankook!$B$49)+(1+M336)*NPV_Hankook!$B$48</f>
        <v>-358.0353473899271</v>
      </c>
    </row>
    <row r="337" spans="1:15" x14ac:dyDescent="0.2">
      <c r="A337" s="228">
        <v>313</v>
      </c>
      <c r="B337" s="229">
        <v>0.290765</v>
      </c>
      <c r="C337" s="229">
        <v>9.8372000000000001E-2</v>
      </c>
      <c r="D337" s="229">
        <v>0.120197</v>
      </c>
      <c r="E337" s="229">
        <v>0.68382699999999996</v>
      </c>
      <c r="F337" s="229">
        <v>0.53245699999999996</v>
      </c>
      <c r="G337" s="229">
        <v>0.24360299999999999</v>
      </c>
      <c r="H337" s="230">
        <f>Proj_Inputs!$B$44+(Proj_Inputs!$C$44-Proj_Inputs!$B$44)*B337</f>
        <v>-4.1847000000000002E-2</v>
      </c>
      <c r="I337" s="230">
        <f>Proj_Inputs!$B$45+(Proj_Inputs!$C$45-Proj_Inputs!$B$45)*C337</f>
        <v>-3.2130240000000004E-2</v>
      </c>
      <c r="J337" s="230">
        <f>Proj_Inputs!$B$46+(Proj_Inputs!$C$46-Proj_Inputs!$B$46)*D337</f>
        <v>-0.12596059999999998</v>
      </c>
      <c r="K337" s="230">
        <f>Proj_Inputs!$B$47+(Proj_Inputs!$C$47-Proj_Inputs!$B$47)*E337</f>
        <v>0.12095674999999999</v>
      </c>
      <c r="L337" s="230">
        <f>Proj_Inputs!$B$46+(Proj_Inputs!$C$46-Proj_Inputs!$B$46)*F337</f>
        <v>-4.3508599999999995E-2</v>
      </c>
      <c r="M337" s="230">
        <f>Proj_Inputs!$B$47+(Proj_Inputs!$C$47-Proj_Inputs!$B$47)*G337</f>
        <v>1.0900749999999994E-2</v>
      </c>
      <c r="N337" s="231">
        <f>(1+H337)*(Proj_Inputs!$B$20+J337)/Proj_Inputs!$B$20*((Proj_Inputs!$B$21+I337)*(1-Proj_Inputs!$B$24)*NPV_Pirelli!$B$47+NPV_Pirelli!$B$49)+(1+K337)*NPV_Pirelli!$B$48</f>
        <v>-63.848793584569307</v>
      </c>
      <c r="O337" s="231">
        <f>(1+H337)*(Proj_Inputs!$C$20+L337)/Proj_Inputs!$C$20*((Proj_Inputs!$C$21+I337)*(1-Proj_Inputs!$C$24)*NPV_Hankook!$B$47+NPV_Hankook!$B$49)+(1+M337)*NPV_Hankook!$B$48</f>
        <v>-397.85543532430938</v>
      </c>
    </row>
    <row r="338" spans="1:15" x14ac:dyDescent="0.2">
      <c r="A338" s="228">
        <v>314</v>
      </c>
      <c r="B338" s="229">
        <v>0.53608699999999998</v>
      </c>
      <c r="C338" s="229">
        <v>0.14208100000000001</v>
      </c>
      <c r="D338" s="229">
        <v>0.74776399999999998</v>
      </c>
      <c r="E338" s="229">
        <v>0.54580200000000001</v>
      </c>
      <c r="F338" s="229">
        <v>0.63013699999999995</v>
      </c>
      <c r="G338" s="229">
        <v>4.5781000000000002E-2</v>
      </c>
      <c r="H338" s="230">
        <f>Proj_Inputs!$B$44+(Proj_Inputs!$C$44-Proj_Inputs!$B$44)*B338</f>
        <v>7.2173999999999988E-3</v>
      </c>
      <c r="I338" s="230">
        <f>Proj_Inputs!$B$45+(Proj_Inputs!$C$45-Proj_Inputs!$B$45)*C338</f>
        <v>-2.8633519999999999E-2</v>
      </c>
      <c r="J338" s="230">
        <f>Proj_Inputs!$B$46+(Proj_Inputs!$C$46-Proj_Inputs!$B$46)*D338</f>
        <v>-4.4719999999998095E-4</v>
      </c>
      <c r="K338" s="230">
        <f>Proj_Inputs!$B$47+(Proj_Inputs!$C$47-Proj_Inputs!$B$47)*E338</f>
        <v>8.64505E-2</v>
      </c>
      <c r="L338" s="230">
        <f>Proj_Inputs!$B$46+(Proj_Inputs!$C$46-Proj_Inputs!$B$46)*F338</f>
        <v>-2.3972600000000011E-2</v>
      </c>
      <c r="M338" s="230">
        <f>Proj_Inputs!$B$47+(Proj_Inputs!$C$47-Proj_Inputs!$B$47)*G338</f>
        <v>-3.8554749999999999E-2</v>
      </c>
      <c r="N338" s="231">
        <f>(1+H338)*(Proj_Inputs!$B$20+J338)/Proj_Inputs!$B$20*((Proj_Inputs!$B$21+I338)*(1-Proj_Inputs!$B$24)*NPV_Pirelli!$B$47+NPV_Pirelli!$B$49)+(1+K338)*NPV_Pirelli!$B$48</f>
        <v>166.86378927970839</v>
      </c>
      <c r="O338" s="231">
        <f>(1+H338)*(Proj_Inputs!$C$20+L338)/Proj_Inputs!$C$20*((Proj_Inputs!$C$21+I338)*(1-Proj_Inputs!$C$24)*NPV_Hankook!$B$47+NPV_Hankook!$B$49)+(1+M338)*NPV_Hankook!$B$48</f>
        <v>-258.32621254566232</v>
      </c>
    </row>
    <row r="339" spans="1:15" x14ac:dyDescent="0.2">
      <c r="A339" s="228">
        <v>315</v>
      </c>
      <c r="B339" s="229">
        <v>0.85565500000000005</v>
      </c>
      <c r="C339" s="229">
        <v>0.95494000000000001</v>
      </c>
      <c r="D339" s="229">
        <v>0.84894800000000004</v>
      </c>
      <c r="E339" s="229">
        <v>0.96871700000000005</v>
      </c>
      <c r="F339" s="229">
        <v>0.60339900000000002</v>
      </c>
      <c r="G339" s="229">
        <v>9.0644000000000002E-2</v>
      </c>
      <c r="H339" s="230">
        <f>Proj_Inputs!$B$44+(Proj_Inputs!$C$44-Proj_Inputs!$B$44)*B339</f>
        <v>7.1131000000000028E-2</v>
      </c>
      <c r="I339" s="230">
        <f>Proj_Inputs!$B$45+(Proj_Inputs!$C$45-Proj_Inputs!$B$45)*C339</f>
        <v>3.6395199999999996E-2</v>
      </c>
      <c r="J339" s="230">
        <f>Proj_Inputs!$B$46+(Proj_Inputs!$C$46-Proj_Inputs!$B$46)*D339</f>
        <v>1.9789600000000018E-2</v>
      </c>
      <c r="K339" s="230">
        <f>Proj_Inputs!$B$47+(Proj_Inputs!$C$47-Proj_Inputs!$B$47)*E339</f>
        <v>0.19217925000000002</v>
      </c>
      <c r="L339" s="230">
        <f>Proj_Inputs!$B$46+(Proj_Inputs!$C$46-Proj_Inputs!$B$46)*F339</f>
        <v>-2.9320199999999991E-2</v>
      </c>
      <c r="M339" s="230">
        <f>Proj_Inputs!$B$47+(Proj_Inputs!$C$47-Proj_Inputs!$B$47)*G339</f>
        <v>-2.7339000000000002E-2</v>
      </c>
      <c r="N339" s="231">
        <f>(1+H339)*(Proj_Inputs!$B$20+J339)/Proj_Inputs!$B$20*((Proj_Inputs!$B$21+I339)*(1-Proj_Inputs!$B$24)*NPV_Pirelli!$B$47+NPV_Pirelli!$B$49)+(1+K339)*NPV_Pirelli!$B$48</f>
        <v>613.30263276810751</v>
      </c>
      <c r="O339" s="231">
        <f>(1+H339)*(Proj_Inputs!$C$20+L339)/Proj_Inputs!$C$20*((Proj_Inputs!$C$21+I339)*(1-Proj_Inputs!$C$24)*NPV_Hankook!$B$47+NPV_Hankook!$B$49)+(1+M339)*NPV_Hankook!$B$48</f>
        <v>239.42459192747515</v>
      </c>
    </row>
    <row r="340" spans="1:15" x14ac:dyDescent="0.2">
      <c r="A340" s="228">
        <v>316</v>
      </c>
      <c r="B340" s="229">
        <v>0.647922</v>
      </c>
      <c r="C340" s="229">
        <v>0.392706</v>
      </c>
      <c r="D340" s="229">
        <v>0.93812600000000002</v>
      </c>
      <c r="E340" s="229">
        <v>0.25354599999999999</v>
      </c>
      <c r="F340" s="229">
        <v>0.87436000000000003</v>
      </c>
      <c r="G340" s="229">
        <v>0.91838799999999998</v>
      </c>
      <c r="H340" s="230">
        <f>Proj_Inputs!$B$44+(Proj_Inputs!$C$44-Proj_Inputs!$B$44)*B340</f>
        <v>2.9584400000000011E-2</v>
      </c>
      <c r="I340" s="230">
        <f>Proj_Inputs!$B$45+(Proj_Inputs!$C$45-Proj_Inputs!$B$45)*C340</f>
        <v>-8.5835199999999973E-3</v>
      </c>
      <c r="J340" s="230">
        <f>Proj_Inputs!$B$46+(Proj_Inputs!$C$46-Proj_Inputs!$B$46)*D340</f>
        <v>3.7625200000000025E-2</v>
      </c>
      <c r="K340" s="230">
        <f>Proj_Inputs!$B$47+(Proj_Inputs!$C$47-Proj_Inputs!$B$47)*E340</f>
        <v>1.3386499999999996E-2</v>
      </c>
      <c r="L340" s="230">
        <f>Proj_Inputs!$B$46+(Proj_Inputs!$C$46-Proj_Inputs!$B$46)*F340</f>
        <v>2.4872000000000033E-2</v>
      </c>
      <c r="M340" s="230">
        <f>Proj_Inputs!$B$47+(Proj_Inputs!$C$47-Proj_Inputs!$B$47)*G340</f>
        <v>0.17959700000000001</v>
      </c>
      <c r="N340" s="231">
        <f>(1+H340)*(Proj_Inputs!$B$20+J340)/Proj_Inputs!$B$20*((Proj_Inputs!$B$21+I340)*(1-Proj_Inputs!$B$24)*NPV_Pirelli!$B$47+NPV_Pirelli!$B$49)+(1+K340)*NPV_Pirelli!$B$48</f>
        <v>424.50481856485317</v>
      </c>
      <c r="O340" s="231">
        <f>(1+H340)*(Proj_Inputs!$C$20+L340)/Proj_Inputs!$C$20*((Proj_Inputs!$C$21+I340)*(1-Proj_Inputs!$C$24)*NPV_Hankook!$B$47+NPV_Hankook!$B$49)+(1+M340)*NPV_Hankook!$B$48</f>
        <v>-298.59893891710067</v>
      </c>
    </row>
    <row r="341" spans="1:15" x14ac:dyDescent="0.2">
      <c r="A341" s="228">
        <v>317</v>
      </c>
      <c r="B341" s="229">
        <v>0.97163600000000006</v>
      </c>
      <c r="C341" s="229">
        <v>0.94497600000000004</v>
      </c>
      <c r="D341" s="229">
        <v>0.34986800000000001</v>
      </c>
      <c r="E341" s="229">
        <v>0.17493400000000001</v>
      </c>
      <c r="F341" s="229">
        <v>0.69394699999999998</v>
      </c>
      <c r="G341" s="229">
        <v>3.7615000000000003E-2</v>
      </c>
      <c r="H341" s="230">
        <f>Proj_Inputs!$B$44+(Proj_Inputs!$C$44-Proj_Inputs!$B$44)*B341</f>
        <v>9.4327200000000028E-2</v>
      </c>
      <c r="I341" s="230">
        <f>Proj_Inputs!$B$45+(Proj_Inputs!$C$45-Proj_Inputs!$B$45)*C341</f>
        <v>3.5598079999999997E-2</v>
      </c>
      <c r="J341" s="230">
        <f>Proj_Inputs!$B$46+(Proj_Inputs!$C$46-Proj_Inputs!$B$46)*D341</f>
        <v>-8.0026399999999984E-2</v>
      </c>
      <c r="K341" s="230">
        <f>Proj_Inputs!$B$47+(Proj_Inputs!$C$47-Proj_Inputs!$B$47)*E341</f>
        <v>-6.2665000000000012E-3</v>
      </c>
      <c r="L341" s="230">
        <f>Proj_Inputs!$B$46+(Proj_Inputs!$C$46-Proj_Inputs!$B$46)*F341</f>
        <v>-1.1210599999999987E-2</v>
      </c>
      <c r="M341" s="230">
        <f>Proj_Inputs!$B$47+(Proj_Inputs!$C$47-Proj_Inputs!$B$47)*G341</f>
        <v>-4.059625E-2</v>
      </c>
      <c r="N341" s="231">
        <f>(1+H341)*(Proj_Inputs!$B$20+J341)/Proj_Inputs!$B$20*((Proj_Inputs!$B$21+I341)*(1-Proj_Inputs!$B$24)*NPV_Pirelli!$B$47+NPV_Pirelli!$B$49)+(1+K341)*NPV_Pirelli!$B$48</f>
        <v>626.26623625251216</v>
      </c>
      <c r="O341" s="231">
        <f>(1+H341)*(Proj_Inputs!$C$20+L341)/Proj_Inputs!$C$20*((Proj_Inputs!$C$21+I341)*(1-Proj_Inputs!$C$24)*NPV_Hankook!$B$47+NPV_Hankook!$B$49)+(1+M341)*NPV_Hankook!$B$48</f>
        <v>307.7637198113423</v>
      </c>
    </row>
    <row r="342" spans="1:15" x14ac:dyDescent="0.2">
      <c r="A342" s="228">
        <v>318</v>
      </c>
      <c r="B342" s="229">
        <v>0.234017</v>
      </c>
      <c r="C342" s="229">
        <v>9.3100000000000002E-2</v>
      </c>
      <c r="D342" s="229">
        <v>0.96494999999999997</v>
      </c>
      <c r="E342" s="229">
        <v>0.36182799999999998</v>
      </c>
      <c r="F342" s="229">
        <v>0.42155399999999998</v>
      </c>
      <c r="G342" s="229">
        <v>0.23999400000000001</v>
      </c>
      <c r="H342" s="230">
        <f>Proj_Inputs!$B$44+(Proj_Inputs!$C$44-Proj_Inputs!$B$44)*B342</f>
        <v>-5.3196600000000004E-2</v>
      </c>
      <c r="I342" s="230">
        <f>Proj_Inputs!$B$45+(Proj_Inputs!$C$45-Proj_Inputs!$B$45)*C342</f>
        <v>-3.2551999999999998E-2</v>
      </c>
      <c r="J342" s="230">
        <f>Proj_Inputs!$B$46+(Proj_Inputs!$C$46-Proj_Inputs!$B$46)*D342</f>
        <v>4.299E-2</v>
      </c>
      <c r="K342" s="230">
        <f>Proj_Inputs!$B$47+(Proj_Inputs!$C$47-Proj_Inputs!$B$47)*E342</f>
        <v>4.0456999999999993E-2</v>
      </c>
      <c r="L342" s="230">
        <f>Proj_Inputs!$B$46+(Proj_Inputs!$C$46-Proj_Inputs!$B$46)*F342</f>
        <v>-6.5689199999999989E-2</v>
      </c>
      <c r="M342" s="230">
        <f>Proj_Inputs!$B$47+(Proj_Inputs!$C$47-Proj_Inputs!$B$47)*G342</f>
        <v>9.9985000000000004E-3</v>
      </c>
      <c r="N342" s="231">
        <f>(1+H342)*(Proj_Inputs!$B$20+J342)/Proj_Inputs!$B$20*((Proj_Inputs!$B$21+I342)*(1-Proj_Inputs!$B$24)*NPV_Pirelli!$B$47+NPV_Pirelli!$B$49)+(1+K342)*NPV_Pirelli!$B$48</f>
        <v>164.14471784490649</v>
      </c>
      <c r="O342" s="231">
        <f>(1+H342)*(Proj_Inputs!$C$20+L342)/Proj_Inputs!$C$20*((Proj_Inputs!$C$21+I342)*(1-Proj_Inputs!$C$24)*NPV_Hankook!$B$47+NPV_Hankook!$B$49)+(1+M342)*NPV_Hankook!$B$48</f>
        <v>-428.47258399469729</v>
      </c>
    </row>
    <row r="343" spans="1:15" x14ac:dyDescent="0.2">
      <c r="A343" s="228">
        <v>319</v>
      </c>
      <c r="B343" s="229">
        <v>0.70572199999999996</v>
      </c>
      <c r="C343" s="229">
        <v>0.33991199999999999</v>
      </c>
      <c r="D343" s="229">
        <v>0.53419499999999998</v>
      </c>
      <c r="E343" s="229">
        <v>7.927E-3</v>
      </c>
      <c r="F343" s="229">
        <v>0.227772</v>
      </c>
      <c r="G343" s="229">
        <v>0.23533299999999999</v>
      </c>
      <c r="H343" s="230">
        <f>Proj_Inputs!$B$44+(Proj_Inputs!$C$44-Proj_Inputs!$B$44)*B343</f>
        <v>4.1144399999999998E-2</v>
      </c>
      <c r="I343" s="230">
        <f>Proj_Inputs!$B$45+(Proj_Inputs!$C$45-Proj_Inputs!$B$45)*C343</f>
        <v>-1.2807040000000002E-2</v>
      </c>
      <c r="J343" s="230">
        <f>Proj_Inputs!$B$46+(Proj_Inputs!$C$46-Proj_Inputs!$B$46)*D343</f>
        <v>-4.3160999999999991E-2</v>
      </c>
      <c r="K343" s="230">
        <f>Proj_Inputs!$B$47+(Proj_Inputs!$C$47-Proj_Inputs!$B$47)*E343</f>
        <v>-4.8018250000000005E-2</v>
      </c>
      <c r="L343" s="230">
        <f>Proj_Inputs!$B$46+(Proj_Inputs!$C$46-Proj_Inputs!$B$46)*F343</f>
        <v>-0.1044456</v>
      </c>
      <c r="M343" s="230">
        <f>Proj_Inputs!$B$47+(Proj_Inputs!$C$47-Proj_Inputs!$B$47)*G343</f>
        <v>8.8332499999999939E-3</v>
      </c>
      <c r="N343" s="231">
        <f>(1+H343)*(Proj_Inputs!$B$20+J343)/Proj_Inputs!$B$20*((Proj_Inputs!$B$21+I343)*(1-Proj_Inputs!$B$24)*NPV_Pirelli!$B$47+NPV_Pirelli!$B$49)+(1+K343)*NPV_Pirelli!$B$48</f>
        <v>354.15867798994668</v>
      </c>
      <c r="O343" s="231">
        <f>(1+H343)*(Proj_Inputs!$C$20+L343)/Proj_Inputs!$C$20*((Proj_Inputs!$C$21+I343)*(1-Proj_Inputs!$C$24)*NPV_Hankook!$B$47+NPV_Hankook!$B$49)+(1+M343)*NPV_Hankook!$B$48</f>
        <v>-266.33527132974984</v>
      </c>
    </row>
    <row r="344" spans="1:15" x14ac:dyDescent="0.2">
      <c r="A344" s="228">
        <v>320</v>
      </c>
      <c r="B344" s="229">
        <v>9.7993999999999998E-2</v>
      </c>
      <c r="C344" s="229">
        <v>0.55811999999999995</v>
      </c>
      <c r="D344" s="229">
        <v>0.492614</v>
      </c>
      <c r="E344" s="229">
        <v>0.77668099999999995</v>
      </c>
      <c r="F344" s="229">
        <v>0.58722200000000002</v>
      </c>
      <c r="G344" s="229">
        <v>3.7159999999999999E-2</v>
      </c>
      <c r="H344" s="230">
        <f>Proj_Inputs!$B$44+(Proj_Inputs!$C$44-Proj_Inputs!$B$44)*B344</f>
        <v>-8.0401200000000006E-2</v>
      </c>
      <c r="I344" s="230">
        <f>Proj_Inputs!$B$45+(Proj_Inputs!$C$45-Proj_Inputs!$B$45)*C344</f>
        <v>4.6495999999999968E-3</v>
      </c>
      <c r="J344" s="230">
        <f>Proj_Inputs!$B$46+(Proj_Inputs!$C$46-Proj_Inputs!$B$46)*D344</f>
        <v>-5.1477199999999987E-2</v>
      </c>
      <c r="K344" s="230">
        <f>Proj_Inputs!$B$47+(Proj_Inputs!$C$47-Proj_Inputs!$B$47)*E344</f>
        <v>0.14417025</v>
      </c>
      <c r="L344" s="230">
        <f>Proj_Inputs!$B$46+(Proj_Inputs!$C$46-Proj_Inputs!$B$46)*F344</f>
        <v>-3.255559999999999E-2</v>
      </c>
      <c r="M344" s="230">
        <f>Proj_Inputs!$B$47+(Proj_Inputs!$C$47-Proj_Inputs!$B$47)*G344</f>
        <v>-4.0710000000000003E-2</v>
      </c>
      <c r="N344" s="231">
        <f>(1+H344)*(Proj_Inputs!$B$20+J344)/Proj_Inputs!$B$20*((Proj_Inputs!$B$21+I344)*(1-Proj_Inputs!$B$24)*NPV_Pirelli!$B$47+NPV_Pirelli!$B$49)+(1+K344)*NPV_Pirelli!$B$48</f>
        <v>157.84501552247616</v>
      </c>
      <c r="O344" s="231">
        <f>(1+H344)*(Proj_Inputs!$C$20+L344)/Proj_Inputs!$C$20*((Proj_Inputs!$C$21+I344)*(1-Proj_Inputs!$C$24)*NPV_Hankook!$B$47+NPV_Hankook!$B$49)+(1+M344)*NPV_Hankook!$B$48</f>
        <v>-136.16801040893517</v>
      </c>
    </row>
    <row r="345" spans="1:15" x14ac:dyDescent="0.2">
      <c r="A345" s="228">
        <v>321</v>
      </c>
      <c r="B345" s="229">
        <v>0.13711899999999999</v>
      </c>
      <c r="C345" s="229">
        <v>0.96985299999999997</v>
      </c>
      <c r="D345" s="229">
        <v>0.102037</v>
      </c>
      <c r="E345" s="229">
        <v>0.84413700000000003</v>
      </c>
      <c r="F345" s="229">
        <v>0.66063099999999997</v>
      </c>
      <c r="G345" s="229">
        <v>0.83504500000000004</v>
      </c>
      <c r="H345" s="230">
        <f>Proj_Inputs!$B$44+(Proj_Inputs!$C$44-Proj_Inputs!$B$44)*B345</f>
        <v>-7.2576200000000007E-2</v>
      </c>
      <c r="I345" s="230">
        <f>Proj_Inputs!$B$45+(Proj_Inputs!$C$45-Proj_Inputs!$B$45)*C345</f>
        <v>3.7588240000000002E-2</v>
      </c>
      <c r="J345" s="230">
        <f>Proj_Inputs!$B$46+(Proj_Inputs!$C$46-Proj_Inputs!$B$46)*D345</f>
        <v>-0.1295926</v>
      </c>
      <c r="K345" s="230">
        <f>Proj_Inputs!$B$47+(Proj_Inputs!$C$47-Proj_Inputs!$B$47)*E345</f>
        <v>0.16103424999999999</v>
      </c>
      <c r="L345" s="230">
        <f>Proj_Inputs!$B$46+(Proj_Inputs!$C$46-Proj_Inputs!$B$46)*F345</f>
        <v>-1.7873799999999995E-2</v>
      </c>
      <c r="M345" s="230">
        <f>Proj_Inputs!$B$47+(Proj_Inputs!$C$47-Proj_Inputs!$B$47)*G345</f>
        <v>0.15876125000000002</v>
      </c>
      <c r="N345" s="231">
        <f>(1+H345)*(Proj_Inputs!$B$20+J345)/Proj_Inputs!$B$20*((Proj_Inputs!$B$21+I345)*(1-Proj_Inputs!$B$24)*NPV_Pirelli!$B$47+NPV_Pirelli!$B$49)+(1+K345)*NPV_Pirelli!$B$48</f>
        <v>216.9331284474456</v>
      </c>
      <c r="O345" s="231">
        <f>(1+H345)*(Proj_Inputs!$C$20+L345)/Proj_Inputs!$C$20*((Proj_Inputs!$C$21+I345)*(1-Proj_Inputs!$C$24)*NPV_Hankook!$B$47+NPV_Hankook!$B$49)+(1+M345)*NPV_Hankook!$B$48</f>
        <v>-137.95931145496365</v>
      </c>
    </row>
    <row r="346" spans="1:15" x14ac:dyDescent="0.2">
      <c r="A346" s="228">
        <v>322</v>
      </c>
      <c r="B346" s="229">
        <v>0.84751100000000001</v>
      </c>
      <c r="C346" s="229">
        <v>0.12787399999999999</v>
      </c>
      <c r="D346" s="229">
        <v>0.95723400000000003</v>
      </c>
      <c r="E346" s="229">
        <v>0.40926899999999999</v>
      </c>
      <c r="F346" s="229">
        <v>0.99105900000000002</v>
      </c>
      <c r="G346" s="229">
        <v>0.71611100000000005</v>
      </c>
      <c r="H346" s="230">
        <f>Proj_Inputs!$B$44+(Proj_Inputs!$C$44-Proj_Inputs!$B$44)*B346</f>
        <v>6.9502200000000014E-2</v>
      </c>
      <c r="I346" s="230">
        <f>Proj_Inputs!$B$45+(Proj_Inputs!$C$45-Proj_Inputs!$B$45)*C346</f>
        <v>-2.9770080000000001E-2</v>
      </c>
      <c r="J346" s="230">
        <f>Proj_Inputs!$B$46+(Proj_Inputs!$C$46-Proj_Inputs!$B$46)*D346</f>
        <v>4.1446800000000034E-2</v>
      </c>
      <c r="K346" s="230">
        <f>Proj_Inputs!$B$47+(Proj_Inputs!$C$47-Proj_Inputs!$B$47)*E346</f>
        <v>5.2317249999999996E-2</v>
      </c>
      <c r="L346" s="230">
        <f>Proj_Inputs!$B$46+(Proj_Inputs!$C$46-Proj_Inputs!$B$46)*F346</f>
        <v>4.8211800000000027E-2</v>
      </c>
      <c r="M346" s="230">
        <f>Proj_Inputs!$B$47+(Proj_Inputs!$C$47-Proj_Inputs!$B$47)*G346</f>
        <v>0.12902775</v>
      </c>
      <c r="N346" s="231">
        <f>(1+H346)*(Proj_Inputs!$B$20+J346)/Proj_Inputs!$B$20*((Proj_Inputs!$B$21+I346)*(1-Proj_Inputs!$B$24)*NPV_Pirelli!$B$47+NPV_Pirelli!$B$49)+(1+K346)*NPV_Pirelli!$B$48</f>
        <v>299.79761459864471</v>
      </c>
      <c r="O346" s="231">
        <f>(1+H346)*(Proj_Inputs!$C$20+L346)/Proj_Inputs!$C$20*((Proj_Inputs!$C$21+I346)*(1-Proj_Inputs!$C$24)*NPV_Hankook!$B$47+NPV_Hankook!$B$49)+(1+M346)*NPV_Hankook!$B$48</f>
        <v>-333.60642930360757</v>
      </c>
    </row>
    <row r="347" spans="1:15" x14ac:dyDescent="0.2">
      <c r="A347" s="228">
        <v>323</v>
      </c>
      <c r="B347" s="229">
        <v>0.100214</v>
      </c>
      <c r="C347" s="229">
        <v>9.0865000000000001E-2</v>
      </c>
      <c r="D347" s="229">
        <v>0.34749400000000003</v>
      </c>
      <c r="E347" s="229">
        <v>0.63419599999999998</v>
      </c>
      <c r="F347" s="229">
        <v>0.81858299999999995</v>
      </c>
      <c r="G347" s="229">
        <v>7.0414000000000004E-2</v>
      </c>
      <c r="H347" s="230">
        <f>Proj_Inputs!$B$44+(Proj_Inputs!$C$44-Proj_Inputs!$B$44)*B347</f>
        <v>-7.9957200000000006E-2</v>
      </c>
      <c r="I347" s="230">
        <f>Proj_Inputs!$B$45+(Proj_Inputs!$C$45-Proj_Inputs!$B$45)*C347</f>
        <v>-3.2730800000000004E-2</v>
      </c>
      <c r="J347" s="230">
        <f>Proj_Inputs!$B$46+(Proj_Inputs!$C$46-Proj_Inputs!$B$46)*D347</f>
        <v>-8.0501199999999981E-2</v>
      </c>
      <c r="K347" s="230">
        <f>Proj_Inputs!$B$47+(Proj_Inputs!$C$47-Proj_Inputs!$B$47)*E347</f>
        <v>0.10854899999999999</v>
      </c>
      <c r="L347" s="230">
        <f>Proj_Inputs!$B$46+(Proj_Inputs!$C$46-Proj_Inputs!$B$46)*F347</f>
        <v>1.3716599999999995E-2</v>
      </c>
      <c r="M347" s="230">
        <f>Proj_Inputs!$B$47+(Proj_Inputs!$C$47-Proj_Inputs!$B$47)*G347</f>
        <v>-3.2396500000000002E-2</v>
      </c>
      <c r="N347" s="231">
        <f>(1+H347)*(Proj_Inputs!$B$20+J347)/Proj_Inputs!$B$20*((Proj_Inputs!$B$21+I347)*(1-Proj_Inputs!$B$24)*NPV_Pirelli!$B$47+NPV_Pirelli!$B$49)+(1+K347)*NPV_Pirelli!$B$48</f>
        <v>-43.553968481477455</v>
      </c>
      <c r="O347" s="231">
        <f>(1+H347)*(Proj_Inputs!$C$20+L347)/Proj_Inputs!$C$20*((Proj_Inputs!$C$21+I347)*(1-Proj_Inputs!$C$24)*NPV_Hankook!$B$47+NPV_Hankook!$B$49)+(1+M347)*NPV_Hankook!$B$48</f>
        <v>-332.3598578719633</v>
      </c>
    </row>
    <row r="348" spans="1:15" x14ac:dyDescent="0.2">
      <c r="A348" s="228">
        <v>324</v>
      </c>
      <c r="B348" s="229">
        <v>0.10068299999999999</v>
      </c>
      <c r="C348" s="229">
        <v>0.263351</v>
      </c>
      <c r="D348" s="229">
        <v>0.66735500000000003</v>
      </c>
      <c r="E348" s="229">
        <v>0.92630100000000004</v>
      </c>
      <c r="F348" s="229">
        <v>0.42347400000000002</v>
      </c>
      <c r="G348" s="229">
        <v>0.27942699999999998</v>
      </c>
      <c r="H348" s="230">
        <f>Proj_Inputs!$B$44+(Proj_Inputs!$C$44-Proj_Inputs!$B$44)*B348</f>
        <v>-7.9863400000000001E-2</v>
      </c>
      <c r="I348" s="230">
        <f>Proj_Inputs!$B$45+(Proj_Inputs!$C$45-Proj_Inputs!$B$45)*C348</f>
        <v>-1.8931920000000001E-2</v>
      </c>
      <c r="J348" s="230">
        <f>Proj_Inputs!$B$46+(Proj_Inputs!$C$46-Proj_Inputs!$B$46)*D348</f>
        <v>-1.6528999999999988E-2</v>
      </c>
      <c r="K348" s="230">
        <f>Proj_Inputs!$B$47+(Proj_Inputs!$C$47-Proj_Inputs!$B$47)*E348</f>
        <v>0.18157525000000002</v>
      </c>
      <c r="L348" s="230">
        <f>Proj_Inputs!$B$46+(Proj_Inputs!$C$46-Proj_Inputs!$B$46)*F348</f>
        <v>-6.530519999999998E-2</v>
      </c>
      <c r="M348" s="230">
        <f>Proj_Inputs!$B$47+(Proj_Inputs!$C$47-Proj_Inputs!$B$47)*G348</f>
        <v>1.9856749999999992E-2</v>
      </c>
      <c r="N348" s="231">
        <f>(1+H348)*(Proj_Inputs!$B$20+J348)/Proj_Inputs!$B$20*((Proj_Inputs!$B$21+I348)*(1-Proj_Inputs!$B$24)*NPV_Pirelli!$B$47+NPV_Pirelli!$B$49)+(1+K348)*NPV_Pirelli!$B$48</f>
        <v>40.890432996554182</v>
      </c>
      <c r="O348" s="231">
        <f>(1+H348)*(Proj_Inputs!$C$20+L348)/Proj_Inputs!$C$20*((Proj_Inputs!$C$21+I348)*(1-Proj_Inputs!$C$24)*NPV_Hankook!$B$47+NPV_Hankook!$B$49)+(1+M348)*NPV_Hankook!$B$48</f>
        <v>-380.97687333641568</v>
      </c>
    </row>
    <row r="349" spans="1:15" x14ac:dyDescent="0.2">
      <c r="A349" s="228">
        <v>325</v>
      </c>
      <c r="B349" s="229">
        <v>0.85550800000000005</v>
      </c>
      <c r="C349" s="229">
        <v>0.35217900000000002</v>
      </c>
      <c r="D349" s="229">
        <v>0.524644</v>
      </c>
      <c r="E349" s="229">
        <v>0.63737699999999997</v>
      </c>
      <c r="F349" s="229">
        <v>0.26896399999999998</v>
      </c>
      <c r="G349" s="229">
        <v>0.92778099999999997</v>
      </c>
      <c r="H349" s="230">
        <f>Proj_Inputs!$B$44+(Proj_Inputs!$C$44-Proj_Inputs!$B$44)*B349</f>
        <v>7.1101600000000015E-2</v>
      </c>
      <c r="I349" s="230">
        <f>Proj_Inputs!$B$45+(Proj_Inputs!$C$45-Proj_Inputs!$B$45)*C349</f>
        <v>-1.1825679999999998E-2</v>
      </c>
      <c r="J349" s="230">
        <f>Proj_Inputs!$B$46+(Proj_Inputs!$C$46-Proj_Inputs!$B$46)*D349</f>
        <v>-4.5071199999999992E-2</v>
      </c>
      <c r="K349" s="230">
        <f>Proj_Inputs!$B$47+(Proj_Inputs!$C$47-Proj_Inputs!$B$47)*E349</f>
        <v>0.10934424999999999</v>
      </c>
      <c r="L349" s="230">
        <f>Proj_Inputs!$B$46+(Proj_Inputs!$C$46-Proj_Inputs!$B$46)*F349</f>
        <v>-9.6207199999999993E-2</v>
      </c>
      <c r="M349" s="230">
        <f>Proj_Inputs!$B$47+(Proj_Inputs!$C$47-Proj_Inputs!$B$47)*G349</f>
        <v>0.18194525</v>
      </c>
      <c r="N349" s="231">
        <f>(1+H349)*(Proj_Inputs!$B$20+J349)/Proj_Inputs!$B$20*((Proj_Inputs!$B$21+I349)*(1-Proj_Inputs!$B$24)*NPV_Pirelli!$B$47+NPV_Pirelli!$B$49)+(1+K349)*NPV_Pirelli!$B$48</f>
        <v>265.53002942660044</v>
      </c>
      <c r="O349" s="231">
        <f>(1+H349)*(Proj_Inputs!$C$20+L349)/Proj_Inputs!$C$20*((Proj_Inputs!$C$21+I349)*(1-Proj_Inputs!$C$24)*NPV_Hankook!$B$47+NPV_Hankook!$B$49)+(1+M349)*NPV_Hankook!$B$48</f>
        <v>-425.51420788541088</v>
      </c>
    </row>
    <row r="350" spans="1:15" x14ac:dyDescent="0.2">
      <c r="A350" s="228">
        <v>326</v>
      </c>
      <c r="B350" s="229">
        <v>0.73551900000000003</v>
      </c>
      <c r="C350" s="229">
        <v>0.432448</v>
      </c>
      <c r="D350" s="229">
        <v>0.320857</v>
      </c>
      <c r="E350" s="229">
        <v>6.7479999999999998E-2</v>
      </c>
      <c r="F350" s="229">
        <v>0.21154899999999999</v>
      </c>
      <c r="G350" s="229">
        <v>0.50370099999999995</v>
      </c>
      <c r="H350" s="230">
        <f>Proj_Inputs!$B$44+(Proj_Inputs!$C$44-Proj_Inputs!$B$44)*B350</f>
        <v>4.7103800000000001E-2</v>
      </c>
      <c r="I350" s="230">
        <f>Proj_Inputs!$B$45+(Proj_Inputs!$C$45-Proj_Inputs!$B$45)*C350</f>
        <v>-5.4041599999999981E-3</v>
      </c>
      <c r="J350" s="230">
        <f>Proj_Inputs!$B$46+(Proj_Inputs!$C$46-Proj_Inputs!$B$46)*D350</f>
        <v>-8.5828599999999991E-2</v>
      </c>
      <c r="K350" s="230">
        <f>Proj_Inputs!$B$47+(Proj_Inputs!$C$47-Proj_Inputs!$B$47)*E350</f>
        <v>-3.3130000000000007E-2</v>
      </c>
      <c r="L350" s="230">
        <f>Proj_Inputs!$B$46+(Proj_Inputs!$C$46-Proj_Inputs!$B$46)*F350</f>
        <v>-0.10769019999999999</v>
      </c>
      <c r="M350" s="230">
        <f>Proj_Inputs!$B$47+(Proj_Inputs!$C$47-Proj_Inputs!$B$47)*G350</f>
        <v>7.5925249999999986E-2</v>
      </c>
      <c r="N350" s="231">
        <f>(1+H350)*(Proj_Inputs!$B$20+J350)/Proj_Inputs!$B$20*((Proj_Inputs!$B$21+I350)*(1-Proj_Inputs!$B$24)*NPV_Pirelli!$B$47+NPV_Pirelli!$B$49)+(1+K350)*NPV_Pirelli!$B$48</f>
        <v>336.80143780831895</v>
      </c>
      <c r="O350" s="231">
        <f>(1+H350)*(Proj_Inputs!$C$20+L350)/Proj_Inputs!$C$20*((Proj_Inputs!$C$21+I350)*(1-Proj_Inputs!$C$24)*NPV_Hankook!$B$47+NPV_Hankook!$B$49)+(1+M350)*NPV_Hankook!$B$48</f>
        <v>-296.14569809624902</v>
      </c>
    </row>
    <row r="351" spans="1:15" x14ac:dyDescent="0.2">
      <c r="A351" s="228">
        <v>327</v>
      </c>
      <c r="B351" s="229">
        <v>0.85979399999999995</v>
      </c>
      <c r="C351" s="229">
        <v>0.22167999999999999</v>
      </c>
      <c r="D351" s="229">
        <v>0.50926800000000005</v>
      </c>
      <c r="E351" s="229">
        <v>0.92396100000000003</v>
      </c>
      <c r="F351" s="229">
        <v>0.31082599999999999</v>
      </c>
      <c r="G351" s="229">
        <v>0.87903699999999996</v>
      </c>
      <c r="H351" s="230">
        <f>Proj_Inputs!$B$44+(Proj_Inputs!$C$44-Proj_Inputs!$B$44)*B351</f>
        <v>7.1958799999999989E-2</v>
      </c>
      <c r="I351" s="230">
        <f>Proj_Inputs!$B$45+(Proj_Inputs!$C$45-Proj_Inputs!$B$45)*C351</f>
        <v>-2.22656E-2</v>
      </c>
      <c r="J351" s="230">
        <f>Proj_Inputs!$B$46+(Proj_Inputs!$C$46-Proj_Inputs!$B$46)*D351</f>
        <v>-4.8146399999999978E-2</v>
      </c>
      <c r="K351" s="230">
        <f>Proj_Inputs!$B$47+(Proj_Inputs!$C$47-Proj_Inputs!$B$47)*E351</f>
        <v>0.18099025000000002</v>
      </c>
      <c r="L351" s="230">
        <f>Proj_Inputs!$B$46+(Proj_Inputs!$C$46-Proj_Inputs!$B$46)*F351</f>
        <v>-8.7834799999999991E-2</v>
      </c>
      <c r="M351" s="230">
        <f>Proj_Inputs!$B$47+(Proj_Inputs!$C$47-Proj_Inputs!$B$47)*G351</f>
        <v>0.16975924999999997</v>
      </c>
      <c r="N351" s="231">
        <f>(1+H351)*(Proj_Inputs!$B$20+J351)/Proj_Inputs!$B$20*((Proj_Inputs!$B$21+I351)*(1-Proj_Inputs!$B$24)*NPV_Pirelli!$B$47+NPV_Pirelli!$B$49)+(1+K351)*NPV_Pirelli!$B$48</f>
        <v>140.32921129052465</v>
      </c>
      <c r="O351" s="231">
        <f>(1+H351)*(Proj_Inputs!$C$20+L351)/Proj_Inputs!$C$20*((Proj_Inputs!$C$21+I351)*(1-Proj_Inputs!$C$24)*NPV_Hankook!$B$47+NPV_Hankook!$B$49)+(1+M351)*NPV_Hankook!$B$48</f>
        <v>-469.89082191824286</v>
      </c>
    </row>
    <row r="352" spans="1:15" x14ac:dyDescent="0.2">
      <c r="A352" s="228">
        <v>328</v>
      </c>
      <c r="B352" s="229">
        <v>0.22123399999999999</v>
      </c>
      <c r="C352" s="229">
        <v>0.193188</v>
      </c>
      <c r="D352" s="229">
        <v>0.76426799999999995</v>
      </c>
      <c r="E352" s="229">
        <v>0.63083900000000004</v>
      </c>
      <c r="F352" s="229">
        <v>0.24336199999999999</v>
      </c>
      <c r="G352" s="229">
        <v>0.94504999999999995</v>
      </c>
      <c r="H352" s="230">
        <f>Proj_Inputs!$B$44+(Proj_Inputs!$C$44-Proj_Inputs!$B$44)*B352</f>
        <v>-5.5753200000000003E-2</v>
      </c>
      <c r="I352" s="230">
        <f>Proj_Inputs!$B$45+(Proj_Inputs!$C$45-Proj_Inputs!$B$45)*C352</f>
        <v>-2.4544960000000001E-2</v>
      </c>
      <c r="J352" s="230">
        <f>Proj_Inputs!$B$46+(Proj_Inputs!$C$46-Proj_Inputs!$B$46)*D352</f>
        <v>2.8536000000000117E-3</v>
      </c>
      <c r="K352" s="230">
        <f>Proj_Inputs!$B$47+(Proj_Inputs!$C$47-Proj_Inputs!$B$47)*E352</f>
        <v>0.10770975000000001</v>
      </c>
      <c r="L352" s="230">
        <f>Proj_Inputs!$B$46+(Proj_Inputs!$C$46-Proj_Inputs!$B$46)*F352</f>
        <v>-0.10132759999999999</v>
      </c>
      <c r="M352" s="230">
        <f>Proj_Inputs!$B$47+(Proj_Inputs!$C$47-Proj_Inputs!$B$47)*G352</f>
        <v>0.1862625</v>
      </c>
      <c r="N352" s="231">
        <f>(1+H352)*(Proj_Inputs!$B$20+J352)/Proj_Inputs!$B$20*((Proj_Inputs!$B$21+I352)*(1-Proj_Inputs!$B$24)*NPV_Pirelli!$B$47+NPV_Pirelli!$B$49)+(1+K352)*NPV_Pirelli!$B$48</f>
        <v>113.60240146271735</v>
      </c>
      <c r="O352" s="231">
        <f>(1+H352)*(Proj_Inputs!$C$20+L352)/Proj_Inputs!$C$20*((Proj_Inputs!$C$21+I352)*(1-Proj_Inputs!$C$24)*NPV_Hankook!$B$47+NPV_Hankook!$B$49)+(1+M352)*NPV_Hankook!$B$48</f>
        <v>-621.35661720820656</v>
      </c>
    </row>
    <row r="353" spans="1:15" x14ac:dyDescent="0.2">
      <c r="A353" s="228">
        <v>329</v>
      </c>
      <c r="B353" s="229">
        <v>0.13447600000000001</v>
      </c>
      <c r="C353" s="229">
        <v>0.89070700000000003</v>
      </c>
      <c r="D353" s="229">
        <v>0.94286300000000001</v>
      </c>
      <c r="E353" s="229">
        <v>0.145728</v>
      </c>
      <c r="F353" s="229">
        <v>0.13997100000000001</v>
      </c>
      <c r="G353" s="229">
        <v>0.37156</v>
      </c>
      <c r="H353" s="230">
        <f>Proj_Inputs!$B$44+(Proj_Inputs!$C$44-Proj_Inputs!$B$44)*B353</f>
        <v>-7.3104799999999998E-2</v>
      </c>
      <c r="I353" s="230">
        <f>Proj_Inputs!$B$45+(Proj_Inputs!$C$45-Proj_Inputs!$B$45)*C353</f>
        <v>3.125656000000001E-2</v>
      </c>
      <c r="J353" s="230">
        <f>Proj_Inputs!$B$46+(Proj_Inputs!$C$46-Proj_Inputs!$B$46)*D353</f>
        <v>3.8572600000000012E-2</v>
      </c>
      <c r="K353" s="230">
        <f>Proj_Inputs!$B$47+(Proj_Inputs!$C$47-Proj_Inputs!$B$47)*E353</f>
        <v>-1.3568000000000004E-2</v>
      </c>
      <c r="L353" s="230">
        <f>Proj_Inputs!$B$46+(Proj_Inputs!$C$46-Proj_Inputs!$B$46)*F353</f>
        <v>-0.1220058</v>
      </c>
      <c r="M353" s="230">
        <f>Proj_Inputs!$B$47+(Proj_Inputs!$C$47-Proj_Inputs!$B$47)*G353</f>
        <v>4.2889999999999998E-2</v>
      </c>
      <c r="N353" s="231">
        <f>(1+H353)*(Proj_Inputs!$B$20+J353)/Proj_Inputs!$B$20*((Proj_Inputs!$B$21+I353)*(1-Proj_Inputs!$B$24)*NPV_Pirelli!$B$47+NPV_Pirelli!$B$49)+(1+K353)*NPV_Pirelli!$B$48</f>
        <v>563.07775801817877</v>
      </c>
      <c r="O353" s="231">
        <f>(1+H353)*(Proj_Inputs!$C$20+L353)/Proj_Inputs!$C$20*((Proj_Inputs!$C$21+I353)*(1-Proj_Inputs!$C$24)*NPV_Hankook!$B$47+NPV_Hankook!$B$49)+(1+M353)*NPV_Hankook!$B$48</f>
        <v>-181.38200268525702</v>
      </c>
    </row>
    <row r="354" spans="1:15" x14ac:dyDescent="0.2">
      <c r="A354" s="228">
        <v>330</v>
      </c>
      <c r="B354" s="229">
        <v>0.98911899999999997</v>
      </c>
      <c r="C354" s="229">
        <v>0.87418399999999996</v>
      </c>
      <c r="D354" s="229">
        <v>0.727298</v>
      </c>
      <c r="E354" s="229">
        <v>0.43221599999999999</v>
      </c>
      <c r="F354" s="229">
        <v>0.409918</v>
      </c>
      <c r="G354" s="229">
        <v>0.48486099999999999</v>
      </c>
      <c r="H354" s="230">
        <f>Proj_Inputs!$B$44+(Proj_Inputs!$C$44-Proj_Inputs!$B$44)*B354</f>
        <v>9.7823799999999989E-2</v>
      </c>
      <c r="I354" s="230">
        <f>Proj_Inputs!$B$45+(Proj_Inputs!$C$45-Proj_Inputs!$B$45)*C354</f>
        <v>2.9934719999999991E-2</v>
      </c>
      <c r="J354" s="230">
        <f>Proj_Inputs!$B$46+(Proj_Inputs!$C$46-Proj_Inputs!$B$46)*D354</f>
        <v>-4.5404E-3</v>
      </c>
      <c r="K354" s="230">
        <f>Proj_Inputs!$B$47+(Proj_Inputs!$C$47-Proj_Inputs!$B$47)*E354</f>
        <v>5.8053999999999994E-2</v>
      </c>
      <c r="L354" s="230">
        <f>Proj_Inputs!$B$46+(Proj_Inputs!$C$46-Proj_Inputs!$B$46)*F354</f>
        <v>-6.8016399999999991E-2</v>
      </c>
      <c r="M354" s="230">
        <f>Proj_Inputs!$B$47+(Proj_Inputs!$C$47-Proj_Inputs!$B$47)*G354</f>
        <v>7.1215249999999994E-2</v>
      </c>
      <c r="N354" s="231">
        <f>(1+H354)*(Proj_Inputs!$B$20+J354)/Proj_Inputs!$B$20*((Proj_Inputs!$B$21+I354)*(1-Proj_Inputs!$B$24)*NPV_Pirelli!$B$47+NPV_Pirelli!$B$49)+(1+K354)*NPV_Pirelli!$B$48</f>
        <v>671.98369703950766</v>
      </c>
      <c r="O354" s="231">
        <f>(1+H354)*(Proj_Inputs!$C$20+L354)/Proj_Inputs!$C$20*((Proj_Inputs!$C$21+I354)*(1-Proj_Inputs!$C$24)*NPV_Hankook!$B$47+NPV_Hankook!$B$49)+(1+M354)*NPV_Hankook!$B$48</f>
        <v>51.559496568689156</v>
      </c>
    </row>
    <row r="355" spans="1:15" x14ac:dyDescent="0.2">
      <c r="A355" s="228">
        <v>331</v>
      </c>
      <c r="B355" s="229">
        <v>0.37834000000000001</v>
      </c>
      <c r="C355" s="229">
        <v>0.52014899999999997</v>
      </c>
      <c r="D355" s="229">
        <v>0.25438899999999998</v>
      </c>
      <c r="E355" s="229">
        <v>2.2766999999999999E-2</v>
      </c>
      <c r="F355" s="229">
        <v>0.30763800000000002</v>
      </c>
      <c r="G355" s="229">
        <v>0.75460099999999997</v>
      </c>
      <c r="H355" s="230">
        <f>Proj_Inputs!$B$44+(Proj_Inputs!$C$44-Proj_Inputs!$B$44)*B355</f>
        <v>-2.4331999999999993E-2</v>
      </c>
      <c r="I355" s="230">
        <f>Proj_Inputs!$B$45+(Proj_Inputs!$C$45-Proj_Inputs!$B$45)*C355</f>
        <v>1.6119199999999959E-3</v>
      </c>
      <c r="J355" s="230">
        <f>Proj_Inputs!$B$46+(Proj_Inputs!$C$46-Proj_Inputs!$B$46)*D355</f>
        <v>-9.9122199999999994E-2</v>
      </c>
      <c r="K355" s="230">
        <f>Proj_Inputs!$B$47+(Proj_Inputs!$C$47-Proj_Inputs!$B$47)*E355</f>
        <v>-4.430825E-2</v>
      </c>
      <c r="L355" s="230">
        <f>Proj_Inputs!$B$46+(Proj_Inputs!$C$46-Proj_Inputs!$B$46)*F355</f>
        <v>-8.8472399999999979E-2</v>
      </c>
      <c r="M355" s="230">
        <f>Proj_Inputs!$B$47+(Proj_Inputs!$C$47-Proj_Inputs!$B$47)*G355</f>
        <v>0.13865024999999997</v>
      </c>
      <c r="N355" s="231">
        <f>(1+H355)*(Proj_Inputs!$B$20+J355)/Proj_Inputs!$B$20*((Proj_Inputs!$B$21+I355)*(1-Proj_Inputs!$B$24)*NPV_Pirelli!$B$47+NPV_Pirelli!$B$49)+(1+K355)*NPV_Pirelli!$B$48</f>
        <v>291.59759068702169</v>
      </c>
      <c r="O355" s="231">
        <f>(1+H355)*(Proj_Inputs!$C$20+L355)/Proj_Inputs!$C$20*((Proj_Inputs!$C$21+I355)*(1-Proj_Inputs!$C$24)*NPV_Hankook!$B$47+NPV_Hankook!$B$49)+(1+M355)*NPV_Hankook!$B$48</f>
        <v>-370.4040849479411</v>
      </c>
    </row>
    <row r="356" spans="1:15" x14ac:dyDescent="0.2">
      <c r="A356" s="228">
        <v>332</v>
      </c>
      <c r="B356" s="229">
        <v>0.37929099999999999</v>
      </c>
      <c r="C356" s="229">
        <v>0.69363399999999997</v>
      </c>
      <c r="D356" s="229">
        <v>0.71400600000000003</v>
      </c>
      <c r="E356" s="229">
        <v>0.63768199999999997</v>
      </c>
      <c r="F356" s="229">
        <v>0.50200999999999996</v>
      </c>
      <c r="G356" s="229">
        <v>0.34323700000000001</v>
      </c>
      <c r="H356" s="230">
        <f>Proj_Inputs!$B$44+(Proj_Inputs!$C$44-Proj_Inputs!$B$44)*B356</f>
        <v>-2.4141800000000005E-2</v>
      </c>
      <c r="I356" s="230">
        <f>Proj_Inputs!$B$45+(Proj_Inputs!$C$45-Proj_Inputs!$B$45)*C356</f>
        <v>1.5490719999999999E-2</v>
      </c>
      <c r="J356" s="230">
        <f>Proj_Inputs!$B$46+(Proj_Inputs!$C$46-Proj_Inputs!$B$46)*D356</f>
        <v>-7.1987999999999774E-3</v>
      </c>
      <c r="K356" s="230">
        <f>Proj_Inputs!$B$47+(Proj_Inputs!$C$47-Proj_Inputs!$B$47)*E356</f>
        <v>0.10942049999999999</v>
      </c>
      <c r="L356" s="230">
        <f>Proj_Inputs!$B$46+(Proj_Inputs!$C$46-Proj_Inputs!$B$46)*F356</f>
        <v>-4.9598000000000003E-2</v>
      </c>
      <c r="M356" s="230">
        <f>Proj_Inputs!$B$47+(Proj_Inputs!$C$47-Proj_Inputs!$B$47)*G356</f>
        <v>3.5809250000000001E-2</v>
      </c>
      <c r="N356" s="231">
        <f>(1+H356)*(Proj_Inputs!$B$20+J356)/Proj_Inputs!$B$20*((Proj_Inputs!$B$21+I356)*(1-Proj_Inputs!$B$24)*NPV_Pirelli!$B$47+NPV_Pirelli!$B$49)+(1+K356)*NPV_Pirelli!$B$48</f>
        <v>373.69185599892103</v>
      </c>
      <c r="O356" s="231">
        <f>(1+H356)*(Proj_Inputs!$C$20+L356)/Proj_Inputs!$C$20*((Proj_Inputs!$C$21+I356)*(1-Proj_Inputs!$C$24)*NPV_Hankook!$B$47+NPV_Hankook!$B$49)+(1+M356)*NPV_Hankook!$B$48</f>
        <v>-117.16232102590311</v>
      </c>
    </row>
    <row r="357" spans="1:15" x14ac:dyDescent="0.2">
      <c r="A357" s="228">
        <v>333</v>
      </c>
      <c r="B357" s="229">
        <v>0.83723899999999996</v>
      </c>
      <c r="C357" s="229">
        <v>0.58825899999999998</v>
      </c>
      <c r="D357" s="229">
        <v>0.50834100000000004</v>
      </c>
      <c r="E357" s="229">
        <v>0.69638500000000003</v>
      </c>
      <c r="F357" s="229">
        <v>0.32467000000000001</v>
      </c>
      <c r="G357" s="229">
        <v>0.90231700000000004</v>
      </c>
      <c r="H357" s="230">
        <f>Proj_Inputs!$B$44+(Proj_Inputs!$C$44-Proj_Inputs!$B$44)*B357</f>
        <v>6.7447800000000002E-2</v>
      </c>
      <c r="I357" s="230">
        <f>Proj_Inputs!$B$45+(Proj_Inputs!$C$45-Proj_Inputs!$B$45)*C357</f>
        <v>7.0607199999999995E-3</v>
      </c>
      <c r="J357" s="230">
        <f>Proj_Inputs!$B$46+(Proj_Inputs!$C$46-Proj_Inputs!$B$46)*D357</f>
        <v>-4.833179999999998E-2</v>
      </c>
      <c r="K357" s="230">
        <f>Proj_Inputs!$B$47+(Proj_Inputs!$C$47-Proj_Inputs!$B$47)*E357</f>
        <v>0.12409625000000001</v>
      </c>
      <c r="L357" s="230">
        <f>Proj_Inputs!$B$46+(Proj_Inputs!$C$46-Proj_Inputs!$B$46)*F357</f>
        <v>-8.5065999999999989E-2</v>
      </c>
      <c r="M357" s="230">
        <f>Proj_Inputs!$B$47+(Proj_Inputs!$C$47-Proj_Inputs!$B$47)*G357</f>
        <v>0.17557925000000002</v>
      </c>
      <c r="N357" s="231">
        <f>(1+H357)*(Proj_Inputs!$B$20+J357)/Proj_Inputs!$B$20*((Proj_Inputs!$B$21+I357)*(1-Proj_Inputs!$B$24)*NPV_Pirelli!$B$47+NPV_Pirelli!$B$49)+(1+K357)*NPV_Pirelli!$B$48</f>
        <v>363.69538446692866</v>
      </c>
      <c r="O357" s="231">
        <f>(1+H357)*(Proj_Inputs!$C$20+L357)/Proj_Inputs!$C$20*((Proj_Inputs!$C$21+I357)*(1-Proj_Inputs!$C$24)*NPV_Hankook!$B$47+NPV_Hankook!$B$49)+(1+M357)*NPV_Hankook!$B$48</f>
        <v>-283.12918847066157</v>
      </c>
    </row>
    <row r="358" spans="1:15" x14ac:dyDescent="0.2">
      <c r="A358" s="228">
        <v>334</v>
      </c>
      <c r="B358" s="229">
        <v>0.55061300000000002</v>
      </c>
      <c r="C358" s="229">
        <v>0.74592800000000004</v>
      </c>
      <c r="D358" s="229">
        <v>0.15265899999999999</v>
      </c>
      <c r="E358" s="229">
        <v>0.50373599999999996</v>
      </c>
      <c r="F358" s="229">
        <v>0.157419</v>
      </c>
      <c r="G358" s="229">
        <v>0.14005100000000001</v>
      </c>
      <c r="H358" s="230">
        <f>Proj_Inputs!$B$44+(Proj_Inputs!$C$44-Proj_Inputs!$B$44)*B358</f>
        <v>1.0122600000000009E-2</v>
      </c>
      <c r="I358" s="230">
        <f>Proj_Inputs!$B$45+(Proj_Inputs!$C$45-Proj_Inputs!$B$45)*C358</f>
        <v>1.9674240000000003E-2</v>
      </c>
      <c r="J358" s="230">
        <f>Proj_Inputs!$B$46+(Proj_Inputs!$C$46-Proj_Inputs!$B$46)*D358</f>
        <v>-0.1194682</v>
      </c>
      <c r="K358" s="230">
        <f>Proj_Inputs!$B$47+(Proj_Inputs!$C$47-Proj_Inputs!$B$47)*E358</f>
        <v>7.5933999999999988E-2</v>
      </c>
      <c r="L358" s="230">
        <f>Proj_Inputs!$B$46+(Proj_Inputs!$C$46-Proj_Inputs!$B$46)*F358</f>
        <v>-0.11851619999999999</v>
      </c>
      <c r="M358" s="230">
        <f>Proj_Inputs!$B$47+(Proj_Inputs!$C$47-Proj_Inputs!$B$47)*G358</f>
        <v>-1.4987250000000001E-2</v>
      </c>
      <c r="N358" s="231">
        <f>(1+H358)*(Proj_Inputs!$B$20+J358)/Proj_Inputs!$B$20*((Proj_Inputs!$B$21+I358)*(1-Proj_Inputs!$B$24)*NPV_Pirelli!$B$47+NPV_Pirelli!$B$49)+(1+K358)*NPV_Pirelli!$B$48</f>
        <v>304.10802894438291</v>
      </c>
      <c r="O358" s="231">
        <f>(1+H358)*(Proj_Inputs!$C$20+L358)/Proj_Inputs!$C$20*((Proj_Inputs!$C$21+I358)*(1-Proj_Inputs!$C$24)*NPV_Hankook!$B$47+NPV_Hankook!$B$49)+(1+M358)*NPV_Hankook!$B$48</f>
        <v>-85.981404051699428</v>
      </c>
    </row>
    <row r="359" spans="1:15" x14ac:dyDescent="0.2">
      <c r="A359" s="228">
        <v>335</v>
      </c>
      <c r="B359" s="229">
        <v>0.70414500000000002</v>
      </c>
      <c r="C359" s="229">
        <v>0.33952900000000003</v>
      </c>
      <c r="D359" s="229">
        <v>0.889957</v>
      </c>
      <c r="E359" s="229">
        <v>0.233158</v>
      </c>
      <c r="F359" s="229">
        <v>0.28182600000000002</v>
      </c>
      <c r="G359" s="229">
        <v>0.354236</v>
      </c>
      <c r="H359" s="230">
        <f>Proj_Inputs!$B$44+(Proj_Inputs!$C$44-Proj_Inputs!$B$44)*B359</f>
        <v>4.0829000000000004E-2</v>
      </c>
      <c r="I359" s="230">
        <f>Proj_Inputs!$B$45+(Proj_Inputs!$C$45-Proj_Inputs!$B$45)*C359</f>
        <v>-1.2837679999999997E-2</v>
      </c>
      <c r="J359" s="230">
        <f>Proj_Inputs!$B$46+(Proj_Inputs!$C$46-Proj_Inputs!$B$46)*D359</f>
        <v>2.7991400000000027E-2</v>
      </c>
      <c r="K359" s="230">
        <f>Proj_Inputs!$B$47+(Proj_Inputs!$C$47-Proj_Inputs!$B$47)*E359</f>
        <v>8.2894999999999983E-3</v>
      </c>
      <c r="L359" s="230">
        <f>Proj_Inputs!$B$46+(Proj_Inputs!$C$46-Proj_Inputs!$B$46)*F359</f>
        <v>-9.363479999999999E-2</v>
      </c>
      <c r="M359" s="230">
        <f>Proj_Inputs!$B$47+(Proj_Inputs!$C$47-Proj_Inputs!$B$47)*G359</f>
        <v>3.8558999999999996E-2</v>
      </c>
      <c r="N359" s="231">
        <f>(1+H359)*(Proj_Inputs!$B$20+J359)/Proj_Inputs!$B$20*((Proj_Inputs!$B$21+I359)*(1-Proj_Inputs!$B$24)*NPV_Pirelli!$B$47+NPV_Pirelli!$B$49)+(1+K359)*NPV_Pirelli!$B$48</f>
        <v>400.93364627935875</v>
      </c>
      <c r="O359" s="231">
        <f>(1+H359)*(Proj_Inputs!$C$20+L359)/Proj_Inputs!$C$20*((Proj_Inputs!$C$21+I359)*(1-Proj_Inputs!$C$24)*NPV_Hankook!$B$47+NPV_Hankook!$B$49)+(1+M359)*NPV_Hankook!$B$48</f>
        <v>-289.06123689896697</v>
      </c>
    </row>
    <row r="360" spans="1:15" x14ac:dyDescent="0.2">
      <c r="A360" s="228">
        <v>336</v>
      </c>
      <c r="B360" s="229">
        <v>6.0503000000000001E-2</v>
      </c>
      <c r="C360" s="229">
        <v>6.0229999999999999E-2</v>
      </c>
      <c r="D360" s="229">
        <v>0.60988600000000004</v>
      </c>
      <c r="E360" s="229">
        <v>0.55802200000000002</v>
      </c>
      <c r="F360" s="229">
        <v>0.49354100000000001</v>
      </c>
      <c r="G360" s="229">
        <v>4.4955000000000002E-2</v>
      </c>
      <c r="H360" s="230">
        <f>Proj_Inputs!$B$44+(Proj_Inputs!$C$44-Proj_Inputs!$B$44)*B360</f>
        <v>-8.7899400000000003E-2</v>
      </c>
      <c r="I360" s="230">
        <f>Proj_Inputs!$B$45+(Proj_Inputs!$C$45-Proj_Inputs!$B$45)*C360</f>
        <v>-3.51816E-2</v>
      </c>
      <c r="J360" s="230">
        <f>Proj_Inputs!$B$46+(Proj_Inputs!$C$46-Proj_Inputs!$B$46)*D360</f>
        <v>-2.8022799999999987E-2</v>
      </c>
      <c r="K360" s="230">
        <f>Proj_Inputs!$B$47+(Proj_Inputs!$C$47-Proj_Inputs!$B$47)*E360</f>
        <v>8.9505500000000002E-2</v>
      </c>
      <c r="L360" s="230">
        <f>Proj_Inputs!$B$46+(Proj_Inputs!$C$46-Proj_Inputs!$B$46)*F360</f>
        <v>-5.1291799999999985E-2</v>
      </c>
      <c r="M360" s="230">
        <f>Proj_Inputs!$B$47+(Proj_Inputs!$C$47-Proj_Inputs!$B$47)*G360</f>
        <v>-3.8761250000000004E-2</v>
      </c>
      <c r="N360" s="231">
        <f>(1+H360)*(Proj_Inputs!$B$20+J360)/Proj_Inputs!$B$20*((Proj_Inputs!$B$21+I360)*(1-Proj_Inputs!$B$24)*NPV_Pirelli!$B$47+NPV_Pirelli!$B$49)+(1+K360)*NPV_Pirelli!$B$48</f>
        <v>3.60847176325899</v>
      </c>
      <c r="O360" s="231">
        <f>(1+H360)*(Proj_Inputs!$C$20+L360)/Proj_Inputs!$C$20*((Proj_Inputs!$C$21+I360)*(1-Proj_Inputs!$C$24)*NPV_Hankook!$B$47+NPV_Hankook!$B$49)+(1+M360)*NPV_Hankook!$B$48</f>
        <v>-402.2008804547944</v>
      </c>
    </row>
    <row r="361" spans="1:15" x14ac:dyDescent="0.2">
      <c r="A361" s="228">
        <v>337</v>
      </c>
      <c r="B361" s="229">
        <v>0.64376299999999997</v>
      </c>
      <c r="C361" s="229">
        <v>0.356603</v>
      </c>
      <c r="D361" s="229">
        <v>0.32664199999999999</v>
      </c>
      <c r="E361" s="229">
        <v>0.99608300000000005</v>
      </c>
      <c r="F361" s="229">
        <v>0.53472399999999998</v>
      </c>
      <c r="G361" s="229">
        <v>0.22250900000000001</v>
      </c>
      <c r="H361" s="230">
        <f>Proj_Inputs!$B$44+(Proj_Inputs!$C$44-Proj_Inputs!$B$44)*B361</f>
        <v>2.8752599999999989E-2</v>
      </c>
      <c r="I361" s="230">
        <f>Proj_Inputs!$B$45+(Proj_Inputs!$C$45-Proj_Inputs!$B$45)*C361</f>
        <v>-1.1471760000000001E-2</v>
      </c>
      <c r="J361" s="230">
        <f>Proj_Inputs!$B$46+(Proj_Inputs!$C$46-Proj_Inputs!$B$46)*D361</f>
        <v>-8.46716E-2</v>
      </c>
      <c r="K361" s="230">
        <f>Proj_Inputs!$B$47+(Proj_Inputs!$C$47-Proj_Inputs!$B$47)*E361</f>
        <v>0.19902075000000002</v>
      </c>
      <c r="L361" s="230">
        <f>Proj_Inputs!$B$46+(Proj_Inputs!$C$46-Proj_Inputs!$B$46)*F361</f>
        <v>-4.3055199999999988E-2</v>
      </c>
      <c r="M361" s="230">
        <f>Proj_Inputs!$B$47+(Proj_Inputs!$C$47-Proj_Inputs!$B$47)*G361</f>
        <v>5.6272500000000003E-3</v>
      </c>
      <c r="N361" s="231">
        <f>(1+H361)*(Proj_Inputs!$B$20+J361)/Proj_Inputs!$B$20*((Proj_Inputs!$B$21+I361)*(1-Proj_Inputs!$B$24)*NPV_Pirelli!$B$47+NPV_Pirelli!$B$49)+(1+K361)*NPV_Pirelli!$B$48</f>
        <v>101.0771565201261</v>
      </c>
      <c r="O361" s="231">
        <f>(1+H361)*(Proj_Inputs!$C$20+L361)/Proj_Inputs!$C$20*((Proj_Inputs!$C$21+I361)*(1-Proj_Inputs!$C$24)*NPV_Hankook!$B$47+NPV_Hankook!$B$49)+(1+M361)*NPV_Hankook!$B$48</f>
        <v>-195.26403833549023</v>
      </c>
    </row>
    <row r="362" spans="1:15" x14ac:dyDescent="0.2">
      <c r="A362" s="228">
        <v>338</v>
      </c>
      <c r="B362" s="229">
        <v>0.86270899999999995</v>
      </c>
      <c r="C362" s="229">
        <v>0.46064500000000003</v>
      </c>
      <c r="D362" s="229">
        <v>0.79288599999999998</v>
      </c>
      <c r="E362" s="229">
        <v>0.484516</v>
      </c>
      <c r="F362" s="229">
        <v>0.70014399999999999</v>
      </c>
      <c r="G362" s="229">
        <v>0.91997499999999999</v>
      </c>
      <c r="H362" s="230">
        <f>Proj_Inputs!$B$44+(Proj_Inputs!$C$44-Proj_Inputs!$B$44)*B362</f>
        <v>7.254179999999999E-2</v>
      </c>
      <c r="I362" s="230">
        <f>Proj_Inputs!$B$45+(Proj_Inputs!$C$45-Proj_Inputs!$B$45)*C362</f>
        <v>-3.1483999999999956E-3</v>
      </c>
      <c r="J362" s="230">
        <f>Proj_Inputs!$B$46+(Proj_Inputs!$C$46-Proj_Inputs!$B$46)*D362</f>
        <v>8.577200000000007E-3</v>
      </c>
      <c r="K362" s="230">
        <f>Proj_Inputs!$B$47+(Proj_Inputs!$C$47-Proj_Inputs!$B$47)*E362</f>
        <v>7.1128999999999998E-2</v>
      </c>
      <c r="L362" s="230">
        <f>Proj_Inputs!$B$46+(Proj_Inputs!$C$46-Proj_Inputs!$B$46)*F362</f>
        <v>-9.9711999999999856E-3</v>
      </c>
      <c r="M362" s="230">
        <f>Proj_Inputs!$B$47+(Proj_Inputs!$C$47-Proj_Inputs!$B$47)*G362</f>
        <v>0.17999375000000001</v>
      </c>
      <c r="N362" s="231">
        <f>(1+H362)*(Proj_Inputs!$B$20+J362)/Proj_Inputs!$B$20*((Proj_Inputs!$B$21+I362)*(1-Proj_Inputs!$B$24)*NPV_Pirelli!$B$47+NPV_Pirelli!$B$49)+(1+K362)*NPV_Pirelli!$B$48</f>
        <v>426.95020697293046</v>
      </c>
      <c r="O362" s="231">
        <f>(1+H362)*(Proj_Inputs!$C$20+L362)/Proj_Inputs!$C$20*((Proj_Inputs!$C$21+I362)*(1-Proj_Inputs!$C$24)*NPV_Hankook!$B$47+NPV_Hankook!$B$49)+(1+M362)*NPV_Hankook!$B$48</f>
        <v>-256.89313274456617</v>
      </c>
    </row>
    <row r="363" spans="1:15" x14ac:dyDescent="0.2">
      <c r="A363" s="228">
        <v>339</v>
      </c>
      <c r="B363" s="229">
        <v>0.23455300000000001</v>
      </c>
      <c r="C363" s="229">
        <v>0.49869000000000002</v>
      </c>
      <c r="D363" s="229">
        <v>0.28805799999999998</v>
      </c>
      <c r="E363" s="229">
        <v>0.78654500000000005</v>
      </c>
      <c r="F363" s="229">
        <v>7.6626E-2</v>
      </c>
      <c r="G363" s="229">
        <v>0.95253900000000002</v>
      </c>
      <c r="H363" s="230">
        <f>Proj_Inputs!$B$44+(Proj_Inputs!$C$44-Proj_Inputs!$B$44)*B363</f>
        <v>-5.3089400000000002E-2</v>
      </c>
      <c r="I363" s="230">
        <f>Proj_Inputs!$B$45+(Proj_Inputs!$C$45-Proj_Inputs!$B$45)*C363</f>
        <v>-1.0479999999999517E-4</v>
      </c>
      <c r="J363" s="230">
        <f>Proj_Inputs!$B$46+(Proj_Inputs!$C$46-Proj_Inputs!$B$46)*D363</f>
        <v>-9.2388399999999996E-2</v>
      </c>
      <c r="K363" s="230">
        <f>Proj_Inputs!$B$47+(Proj_Inputs!$C$47-Proj_Inputs!$B$47)*E363</f>
        <v>0.14663625000000002</v>
      </c>
      <c r="L363" s="230">
        <f>Proj_Inputs!$B$46+(Proj_Inputs!$C$46-Proj_Inputs!$B$46)*F363</f>
        <v>-0.13467479999999998</v>
      </c>
      <c r="M363" s="230">
        <f>Proj_Inputs!$B$47+(Proj_Inputs!$C$47-Proj_Inputs!$B$47)*G363</f>
        <v>0.18813475000000002</v>
      </c>
      <c r="N363" s="231">
        <f>(1+H363)*(Proj_Inputs!$B$20+J363)/Proj_Inputs!$B$20*((Proj_Inputs!$B$21+I363)*(1-Proj_Inputs!$B$24)*NPV_Pirelli!$B$47+NPV_Pirelli!$B$49)+(1+K363)*NPV_Pirelli!$B$48</f>
        <v>109.76902523738067</v>
      </c>
      <c r="O363" s="231">
        <f>(1+H363)*(Proj_Inputs!$C$20+L363)/Proj_Inputs!$C$20*((Proj_Inputs!$C$21+I363)*(1-Proj_Inputs!$C$24)*NPV_Hankook!$B$47+NPV_Hankook!$B$49)+(1+M363)*NPV_Hankook!$B$48</f>
        <v>-518.29131204363841</v>
      </c>
    </row>
    <row r="364" spans="1:15" x14ac:dyDescent="0.2">
      <c r="A364" s="228">
        <v>340</v>
      </c>
      <c r="B364" s="229">
        <v>6.7610000000000003E-2</v>
      </c>
      <c r="C364" s="229">
        <v>0.59452899999999997</v>
      </c>
      <c r="D364" s="229">
        <v>0.69923000000000002</v>
      </c>
      <c r="E364" s="229">
        <v>0.49914199999999997</v>
      </c>
      <c r="F364" s="229">
        <v>0.175652</v>
      </c>
      <c r="G364" s="229">
        <v>0.14277400000000001</v>
      </c>
      <c r="H364" s="230">
        <f>Proj_Inputs!$B$44+(Proj_Inputs!$C$44-Proj_Inputs!$B$44)*B364</f>
        <v>-8.6477999999999999E-2</v>
      </c>
      <c r="I364" s="230">
        <f>Proj_Inputs!$B$45+(Proj_Inputs!$C$45-Proj_Inputs!$B$45)*C364</f>
        <v>7.5623199999999974E-3</v>
      </c>
      <c r="J364" s="230">
        <f>Proj_Inputs!$B$46+(Proj_Inputs!$C$46-Proj_Inputs!$B$46)*D364</f>
        <v>-1.0153999999999996E-2</v>
      </c>
      <c r="K364" s="230">
        <f>Proj_Inputs!$B$47+(Proj_Inputs!$C$47-Proj_Inputs!$B$47)*E364</f>
        <v>7.4785499999999991E-2</v>
      </c>
      <c r="L364" s="230">
        <f>Proj_Inputs!$B$46+(Proj_Inputs!$C$46-Proj_Inputs!$B$46)*F364</f>
        <v>-0.11486959999999999</v>
      </c>
      <c r="M364" s="230">
        <f>Proj_Inputs!$B$47+(Proj_Inputs!$C$47-Proj_Inputs!$B$47)*G364</f>
        <v>-1.43065E-2</v>
      </c>
      <c r="N364" s="231">
        <f>(1+H364)*(Proj_Inputs!$B$20+J364)/Proj_Inputs!$B$20*((Proj_Inputs!$B$21+I364)*(1-Proj_Inputs!$B$24)*NPV_Pirelli!$B$47+NPV_Pirelli!$B$49)+(1+K364)*NPV_Pirelli!$B$48</f>
        <v>273.08929969972417</v>
      </c>
      <c r="O364" s="231">
        <f>(1+H364)*(Proj_Inputs!$C$20+L364)/Proj_Inputs!$C$20*((Proj_Inputs!$C$21+I364)*(1-Proj_Inputs!$C$24)*NPV_Hankook!$B$47+NPV_Hankook!$B$49)+(1+M364)*NPV_Hankook!$B$48</f>
        <v>-249.80964081614354</v>
      </c>
    </row>
    <row r="365" spans="1:15" x14ac:dyDescent="0.2">
      <c r="A365" s="228">
        <v>341</v>
      </c>
      <c r="B365" s="229">
        <v>5.0028999999999997E-2</v>
      </c>
      <c r="C365" s="229">
        <v>0.941936</v>
      </c>
      <c r="D365" s="229">
        <v>0.93852899999999995</v>
      </c>
      <c r="E365" s="229">
        <v>0.92644400000000005</v>
      </c>
      <c r="F365" s="229">
        <v>0.10424</v>
      </c>
      <c r="G365" s="229">
        <v>0.89877200000000002</v>
      </c>
      <c r="H365" s="230">
        <f>Proj_Inputs!$B$44+(Proj_Inputs!$C$44-Proj_Inputs!$B$44)*B365</f>
        <v>-8.999420000000001E-2</v>
      </c>
      <c r="I365" s="230">
        <f>Proj_Inputs!$B$45+(Proj_Inputs!$C$45-Proj_Inputs!$B$45)*C365</f>
        <v>3.5354879999999998E-2</v>
      </c>
      <c r="J365" s="230">
        <f>Proj_Inputs!$B$46+(Proj_Inputs!$C$46-Proj_Inputs!$B$46)*D365</f>
        <v>3.7705800000000012E-2</v>
      </c>
      <c r="K365" s="230">
        <f>Proj_Inputs!$B$47+(Proj_Inputs!$C$47-Proj_Inputs!$B$47)*E365</f>
        <v>0.18161100000000002</v>
      </c>
      <c r="L365" s="230">
        <f>Proj_Inputs!$B$46+(Proj_Inputs!$C$46-Proj_Inputs!$B$46)*F365</f>
        <v>-0.12915199999999999</v>
      </c>
      <c r="M365" s="230">
        <f>Proj_Inputs!$B$47+(Proj_Inputs!$C$47-Proj_Inputs!$B$47)*G365</f>
        <v>0.17469299999999999</v>
      </c>
      <c r="N365" s="231">
        <f>(1+H365)*(Proj_Inputs!$B$20+J365)/Proj_Inputs!$B$20*((Proj_Inputs!$B$21+I365)*(1-Proj_Inputs!$B$24)*NPV_Pirelli!$B$47+NPV_Pirelli!$B$49)+(1+K365)*NPV_Pirelli!$B$48</f>
        <v>407.60080758562867</v>
      </c>
      <c r="O365" s="231">
        <f>(1+H365)*(Proj_Inputs!$C$20+L365)/Proj_Inputs!$C$20*((Proj_Inputs!$C$21+I365)*(1-Proj_Inputs!$C$24)*NPV_Hankook!$B$47+NPV_Hankook!$B$49)+(1+M365)*NPV_Hankook!$B$48</f>
        <v>-340.92451424414844</v>
      </c>
    </row>
    <row r="366" spans="1:15" x14ac:dyDescent="0.2">
      <c r="A366" s="228">
        <v>342</v>
      </c>
      <c r="B366" s="229">
        <v>0.47034100000000001</v>
      </c>
      <c r="C366" s="229">
        <v>0.40689700000000001</v>
      </c>
      <c r="D366" s="229">
        <v>0.63366699999999998</v>
      </c>
      <c r="E366" s="229">
        <v>0.73376300000000005</v>
      </c>
      <c r="F366" s="229">
        <v>0.71078200000000002</v>
      </c>
      <c r="G366" s="229">
        <v>4.0598000000000002E-2</v>
      </c>
      <c r="H366" s="230">
        <f>Proj_Inputs!$B$44+(Proj_Inputs!$C$44-Proj_Inputs!$B$44)*B366</f>
        <v>-5.931800000000001E-3</v>
      </c>
      <c r="I366" s="230">
        <f>Proj_Inputs!$B$45+(Proj_Inputs!$C$45-Proj_Inputs!$B$45)*C366</f>
        <v>-7.4482400000000018E-3</v>
      </c>
      <c r="J366" s="230">
        <f>Proj_Inputs!$B$46+(Proj_Inputs!$C$46-Proj_Inputs!$B$46)*D366</f>
        <v>-2.3266599999999998E-2</v>
      </c>
      <c r="K366" s="230">
        <f>Proj_Inputs!$B$47+(Proj_Inputs!$C$47-Proj_Inputs!$B$47)*E366</f>
        <v>0.13344075</v>
      </c>
      <c r="L366" s="230">
        <f>Proj_Inputs!$B$46+(Proj_Inputs!$C$46-Proj_Inputs!$B$46)*F366</f>
        <v>-7.8435999999999784E-3</v>
      </c>
      <c r="M366" s="230">
        <f>Proj_Inputs!$B$47+(Proj_Inputs!$C$47-Proj_Inputs!$B$47)*G366</f>
        <v>-3.9850500000000004E-2</v>
      </c>
      <c r="N366" s="231">
        <f>(1+H366)*(Proj_Inputs!$B$20+J366)/Proj_Inputs!$B$20*((Proj_Inputs!$B$21+I366)*(1-Proj_Inputs!$B$24)*NPV_Pirelli!$B$47+NPV_Pirelli!$B$49)+(1+K366)*NPV_Pirelli!$B$48</f>
        <v>217.7483889579546</v>
      </c>
      <c r="O366" s="231">
        <f>(1+H366)*(Proj_Inputs!$C$20+L366)/Proj_Inputs!$C$20*((Proj_Inputs!$C$21+I366)*(1-Proj_Inputs!$C$24)*NPV_Hankook!$B$47+NPV_Hankook!$B$49)+(1+M366)*NPV_Hankook!$B$48</f>
        <v>-109.35084580050034</v>
      </c>
    </row>
    <row r="367" spans="1:15" x14ac:dyDescent="0.2">
      <c r="A367" s="228">
        <v>343</v>
      </c>
      <c r="B367" s="229">
        <v>0.57710799999999995</v>
      </c>
      <c r="C367" s="229">
        <v>0.97470100000000004</v>
      </c>
      <c r="D367" s="229">
        <v>0.63563499999999995</v>
      </c>
      <c r="E367" s="229">
        <v>0.663578</v>
      </c>
      <c r="F367" s="229">
        <v>2.5625999999999999E-2</v>
      </c>
      <c r="G367" s="229">
        <v>0.75095400000000001</v>
      </c>
      <c r="H367" s="230">
        <f>Proj_Inputs!$B$44+(Proj_Inputs!$C$44-Proj_Inputs!$B$44)*B367</f>
        <v>1.5421599999999994E-2</v>
      </c>
      <c r="I367" s="230">
        <f>Proj_Inputs!$B$45+(Proj_Inputs!$C$45-Proj_Inputs!$B$45)*C367</f>
        <v>3.7976080000000002E-2</v>
      </c>
      <c r="J367" s="230">
        <f>Proj_Inputs!$B$46+(Proj_Inputs!$C$46-Proj_Inputs!$B$46)*D367</f>
        <v>-2.2873000000000004E-2</v>
      </c>
      <c r="K367" s="230">
        <f>Proj_Inputs!$B$47+(Proj_Inputs!$C$47-Proj_Inputs!$B$47)*E367</f>
        <v>0.1158945</v>
      </c>
      <c r="L367" s="230">
        <f>Proj_Inputs!$B$46+(Proj_Inputs!$C$46-Proj_Inputs!$B$46)*F367</f>
        <v>-0.1448748</v>
      </c>
      <c r="M367" s="230">
        <f>Proj_Inputs!$B$47+(Proj_Inputs!$C$47-Proj_Inputs!$B$47)*G367</f>
        <v>0.13773849999999999</v>
      </c>
      <c r="N367" s="231">
        <f>(1+H367)*(Proj_Inputs!$B$20+J367)/Proj_Inputs!$B$20*((Proj_Inputs!$B$21+I367)*(1-Proj_Inputs!$B$24)*NPV_Pirelli!$B$47+NPV_Pirelli!$B$49)+(1+K367)*NPV_Pirelli!$B$48</f>
        <v>534.04699719015377</v>
      </c>
      <c r="O367" s="231">
        <f>(1+H367)*(Proj_Inputs!$C$20+L367)/Proj_Inputs!$C$20*((Proj_Inputs!$C$21+I367)*(1-Proj_Inputs!$C$24)*NPV_Hankook!$B$47+NPV_Hankook!$B$49)+(1+M367)*NPV_Hankook!$B$48</f>
        <v>-187.16618612921366</v>
      </c>
    </row>
    <row r="368" spans="1:15" x14ac:dyDescent="0.2">
      <c r="A368" s="228">
        <v>344</v>
      </c>
      <c r="B368" s="229">
        <v>0.189474</v>
      </c>
      <c r="C368" s="229">
        <v>0.33524100000000001</v>
      </c>
      <c r="D368" s="229">
        <v>0.51858700000000002</v>
      </c>
      <c r="E368" s="229">
        <v>3.9069999999999999E-3</v>
      </c>
      <c r="F368" s="229">
        <v>0.57726100000000002</v>
      </c>
      <c r="G368" s="229">
        <v>0.66901200000000005</v>
      </c>
      <c r="H368" s="230">
        <f>Proj_Inputs!$B$44+(Proj_Inputs!$C$44-Proj_Inputs!$B$44)*B368</f>
        <v>-6.2105199999999999E-2</v>
      </c>
      <c r="I368" s="230">
        <f>Proj_Inputs!$B$45+(Proj_Inputs!$C$45-Proj_Inputs!$B$45)*C368</f>
        <v>-1.318072E-2</v>
      </c>
      <c r="J368" s="230">
        <f>Proj_Inputs!$B$46+(Proj_Inputs!$C$46-Proj_Inputs!$B$46)*D368</f>
        <v>-4.6282599999999979E-2</v>
      </c>
      <c r="K368" s="230">
        <f>Proj_Inputs!$B$47+(Proj_Inputs!$C$47-Proj_Inputs!$B$47)*E368</f>
        <v>-4.9023250000000004E-2</v>
      </c>
      <c r="L368" s="230">
        <f>Proj_Inputs!$B$46+(Proj_Inputs!$C$46-Proj_Inputs!$B$46)*F368</f>
        <v>-3.454779999999999E-2</v>
      </c>
      <c r="M368" s="230">
        <f>Proj_Inputs!$B$47+(Proj_Inputs!$C$47-Proj_Inputs!$B$47)*G368</f>
        <v>0.11725300000000001</v>
      </c>
      <c r="N368" s="231">
        <f>(1+H368)*(Proj_Inputs!$B$20+J368)/Proj_Inputs!$B$20*((Proj_Inputs!$B$21+I368)*(1-Proj_Inputs!$B$24)*NPV_Pirelli!$B$47+NPV_Pirelli!$B$49)+(1+K368)*NPV_Pirelli!$B$48</f>
        <v>239.7214104740865</v>
      </c>
      <c r="O368" s="231">
        <f>(1+H368)*(Proj_Inputs!$C$20+L368)/Proj_Inputs!$C$20*((Proj_Inputs!$C$21+I368)*(1-Proj_Inputs!$C$24)*NPV_Hankook!$B$47+NPV_Hankook!$B$49)+(1+M368)*NPV_Hankook!$B$48</f>
        <v>-412.93522858518088</v>
      </c>
    </row>
    <row r="369" spans="1:15" x14ac:dyDescent="0.2">
      <c r="A369" s="228">
        <v>345</v>
      </c>
      <c r="B369" s="229">
        <v>0.32030799999999998</v>
      </c>
      <c r="C369" s="229">
        <v>0.83454300000000003</v>
      </c>
      <c r="D369" s="229">
        <v>0.57216199999999995</v>
      </c>
      <c r="E369" s="229">
        <v>0.50208699999999995</v>
      </c>
      <c r="F369" s="229">
        <v>0.55042400000000002</v>
      </c>
      <c r="G369" s="229">
        <v>1.8631999999999999E-2</v>
      </c>
      <c r="H369" s="230">
        <f>Proj_Inputs!$B$44+(Proj_Inputs!$C$44-Proj_Inputs!$B$44)*B369</f>
        <v>-3.5938400000000009E-2</v>
      </c>
      <c r="I369" s="230">
        <f>Proj_Inputs!$B$45+(Proj_Inputs!$C$45-Proj_Inputs!$B$45)*C369</f>
        <v>2.6763440000000006E-2</v>
      </c>
      <c r="J369" s="230">
        <f>Proj_Inputs!$B$46+(Proj_Inputs!$C$46-Proj_Inputs!$B$46)*D369</f>
        <v>-3.5567600000000005E-2</v>
      </c>
      <c r="K369" s="230">
        <f>Proj_Inputs!$B$47+(Proj_Inputs!$C$47-Proj_Inputs!$B$47)*E369</f>
        <v>7.5521749999999985E-2</v>
      </c>
      <c r="L369" s="230">
        <f>Proj_Inputs!$B$46+(Proj_Inputs!$C$46-Proj_Inputs!$B$46)*F369</f>
        <v>-3.9915199999999984E-2</v>
      </c>
      <c r="M369" s="230">
        <f>Proj_Inputs!$B$47+(Proj_Inputs!$C$47-Proj_Inputs!$B$47)*G369</f>
        <v>-4.5342E-2</v>
      </c>
      <c r="N369" s="231">
        <f>(1+H369)*(Proj_Inputs!$B$20+J369)/Proj_Inputs!$B$20*((Proj_Inputs!$B$21+I369)*(1-Proj_Inputs!$B$24)*NPV_Pirelli!$B$47+NPV_Pirelli!$B$49)+(1+K369)*NPV_Pirelli!$B$48</f>
        <v>410.71255662100043</v>
      </c>
      <c r="O369" s="231">
        <f>(1+H369)*(Proj_Inputs!$C$20+L369)/Proj_Inputs!$C$20*((Proj_Inputs!$C$21+I369)*(1-Proj_Inputs!$C$24)*NPV_Hankook!$B$47+NPV_Hankook!$B$49)+(1+M369)*NPV_Hankook!$B$48</f>
        <v>47.502285216687369</v>
      </c>
    </row>
    <row r="370" spans="1:15" x14ac:dyDescent="0.2">
      <c r="A370" s="228">
        <v>346</v>
      </c>
      <c r="B370" s="229">
        <v>0.47499599999999997</v>
      </c>
      <c r="C370" s="229">
        <v>0.183891</v>
      </c>
      <c r="D370" s="229">
        <v>0.55693199999999998</v>
      </c>
      <c r="E370" s="229">
        <v>0.632965</v>
      </c>
      <c r="F370" s="229">
        <v>0.91623200000000005</v>
      </c>
      <c r="G370" s="229">
        <v>0.74149399999999999</v>
      </c>
      <c r="H370" s="230">
        <f>Proj_Inputs!$B$44+(Proj_Inputs!$C$44-Proj_Inputs!$B$44)*B370</f>
        <v>-5.0007999999999997E-3</v>
      </c>
      <c r="I370" s="230">
        <f>Proj_Inputs!$B$45+(Proj_Inputs!$C$45-Proj_Inputs!$B$45)*C370</f>
        <v>-2.5288720000000001E-2</v>
      </c>
      <c r="J370" s="230">
        <f>Proj_Inputs!$B$46+(Proj_Inputs!$C$46-Proj_Inputs!$B$46)*D370</f>
        <v>-3.8613599999999998E-2</v>
      </c>
      <c r="K370" s="230">
        <f>Proj_Inputs!$B$47+(Proj_Inputs!$C$47-Proj_Inputs!$B$47)*E370</f>
        <v>0.10824125</v>
      </c>
      <c r="L370" s="230">
        <f>Proj_Inputs!$B$46+(Proj_Inputs!$C$46-Proj_Inputs!$B$46)*F370</f>
        <v>3.3246400000000037E-2</v>
      </c>
      <c r="M370" s="230">
        <f>Proj_Inputs!$B$47+(Proj_Inputs!$C$47-Proj_Inputs!$B$47)*G370</f>
        <v>0.13537349999999998</v>
      </c>
      <c r="N370" s="231">
        <f>(1+H370)*(Proj_Inputs!$B$20+J370)/Proj_Inputs!$B$20*((Proj_Inputs!$B$21+I370)*(1-Proj_Inputs!$B$24)*NPV_Pirelli!$B$47+NPV_Pirelli!$B$49)+(1+K370)*NPV_Pirelli!$B$48</f>
        <v>114.08288773934225</v>
      </c>
      <c r="O370" s="231">
        <f>(1+H370)*(Proj_Inputs!$C$20+L370)/Proj_Inputs!$C$20*((Proj_Inputs!$C$21+I370)*(1-Proj_Inputs!$C$24)*NPV_Hankook!$B$47+NPV_Hankook!$B$49)+(1+M370)*NPV_Hankook!$B$48</f>
        <v>-391.94259332599643</v>
      </c>
    </row>
    <row r="371" spans="1:15" x14ac:dyDescent="0.2">
      <c r="A371" s="228">
        <v>347</v>
      </c>
      <c r="B371" s="229">
        <v>0.70415499999999998</v>
      </c>
      <c r="C371" s="229">
        <v>0.11194</v>
      </c>
      <c r="D371" s="229">
        <v>0.67679100000000003</v>
      </c>
      <c r="E371" s="229">
        <v>0.96832200000000002</v>
      </c>
      <c r="F371" s="229">
        <v>0.59586700000000004</v>
      </c>
      <c r="G371" s="229">
        <v>6.5170000000000006E-2</v>
      </c>
      <c r="H371" s="230">
        <f>Proj_Inputs!$B$44+(Proj_Inputs!$C$44-Proj_Inputs!$B$44)*B371</f>
        <v>4.0831000000000006E-2</v>
      </c>
      <c r="I371" s="230">
        <f>Proj_Inputs!$B$45+(Proj_Inputs!$C$45-Proj_Inputs!$B$45)*C371</f>
        <v>-3.1044800000000001E-2</v>
      </c>
      <c r="J371" s="230">
        <f>Proj_Inputs!$B$46+(Proj_Inputs!$C$46-Proj_Inputs!$B$46)*D371</f>
        <v>-1.4641799999999983E-2</v>
      </c>
      <c r="K371" s="230">
        <f>Proj_Inputs!$B$47+(Proj_Inputs!$C$47-Proj_Inputs!$B$47)*E371</f>
        <v>0.19208049999999999</v>
      </c>
      <c r="L371" s="230">
        <f>Proj_Inputs!$B$46+(Proj_Inputs!$C$46-Proj_Inputs!$B$46)*F371</f>
        <v>-3.0826599999999982E-2</v>
      </c>
      <c r="M371" s="230">
        <f>Proj_Inputs!$B$47+(Proj_Inputs!$C$47-Proj_Inputs!$B$47)*G371</f>
        <v>-3.3707500000000001E-2</v>
      </c>
      <c r="N371" s="231">
        <f>(1+H371)*(Proj_Inputs!$B$20+J371)/Proj_Inputs!$B$20*((Proj_Inputs!$B$21+I371)*(1-Proj_Inputs!$B$24)*NPV_Pirelli!$B$47+NPV_Pirelli!$B$49)+(1+K371)*NPV_Pirelli!$B$48</f>
        <v>85.782692649673663</v>
      </c>
      <c r="O371" s="231">
        <f>(1+H371)*(Proj_Inputs!$C$20+L371)/Proj_Inputs!$C$20*((Proj_Inputs!$C$21+I371)*(1-Proj_Inputs!$C$24)*NPV_Hankook!$B$47+NPV_Hankook!$B$49)+(1+M371)*NPV_Hankook!$B$48</f>
        <v>-258.82490599999755</v>
      </c>
    </row>
    <row r="372" spans="1:15" x14ac:dyDescent="0.2">
      <c r="A372" s="228">
        <v>348</v>
      </c>
      <c r="B372" s="229">
        <v>0.84273600000000004</v>
      </c>
      <c r="C372" s="229">
        <v>0.65752299999999997</v>
      </c>
      <c r="D372" s="229">
        <v>0.39976</v>
      </c>
      <c r="E372" s="229">
        <v>0.23671800000000001</v>
      </c>
      <c r="F372" s="229">
        <v>0.58416199999999996</v>
      </c>
      <c r="G372" s="229">
        <v>0.51881100000000002</v>
      </c>
      <c r="H372" s="230">
        <f>Proj_Inputs!$B$44+(Proj_Inputs!$C$44-Proj_Inputs!$B$44)*B372</f>
        <v>6.8547200000000003E-2</v>
      </c>
      <c r="I372" s="230">
        <f>Proj_Inputs!$B$45+(Proj_Inputs!$C$45-Proj_Inputs!$B$45)*C372</f>
        <v>1.2601839999999996E-2</v>
      </c>
      <c r="J372" s="230">
        <f>Proj_Inputs!$B$46+(Proj_Inputs!$C$46-Proj_Inputs!$B$46)*D372</f>
        <v>-7.0047999999999985E-2</v>
      </c>
      <c r="K372" s="230">
        <f>Proj_Inputs!$B$47+(Proj_Inputs!$C$47-Proj_Inputs!$B$47)*E372</f>
        <v>9.1795000000000002E-3</v>
      </c>
      <c r="L372" s="230">
        <f>Proj_Inputs!$B$46+(Proj_Inputs!$C$46-Proj_Inputs!$B$46)*F372</f>
        <v>-3.3167599999999992E-2</v>
      </c>
      <c r="M372" s="230">
        <f>Proj_Inputs!$B$47+(Proj_Inputs!$C$47-Proj_Inputs!$B$47)*G372</f>
        <v>7.9702750000000003E-2</v>
      </c>
      <c r="N372" s="231">
        <f>(1+H372)*(Proj_Inputs!$B$20+J372)/Proj_Inputs!$B$20*((Proj_Inputs!$B$21+I372)*(1-Proj_Inputs!$B$24)*NPV_Pirelli!$B$47+NPV_Pirelli!$B$49)+(1+K372)*NPV_Pirelli!$B$48</f>
        <v>457.45172920223649</v>
      </c>
      <c r="O372" s="231">
        <f>(1+H372)*(Proj_Inputs!$C$20+L372)/Proj_Inputs!$C$20*((Proj_Inputs!$C$21+I372)*(1-Proj_Inputs!$C$24)*NPV_Hankook!$B$47+NPV_Hankook!$B$49)+(1+M372)*NPV_Hankook!$B$48</f>
        <v>-62.264372373562992</v>
      </c>
    </row>
    <row r="373" spans="1:15" x14ac:dyDescent="0.2">
      <c r="A373" s="228">
        <v>349</v>
      </c>
      <c r="B373" s="229">
        <v>9.4969999999999999E-2</v>
      </c>
      <c r="C373" s="229">
        <v>3.1210999999999999E-2</v>
      </c>
      <c r="D373" s="229">
        <v>0.77340799999999998</v>
      </c>
      <c r="E373" s="229">
        <v>0.41434599999999999</v>
      </c>
      <c r="F373" s="229">
        <v>0.89205000000000001</v>
      </c>
      <c r="G373" s="229">
        <v>0.151806</v>
      </c>
      <c r="H373" s="230">
        <f>Proj_Inputs!$B$44+(Proj_Inputs!$C$44-Proj_Inputs!$B$44)*B373</f>
        <v>-8.1006000000000009E-2</v>
      </c>
      <c r="I373" s="230">
        <f>Proj_Inputs!$B$45+(Proj_Inputs!$C$45-Proj_Inputs!$B$45)*C373</f>
        <v>-3.7503120000000001E-2</v>
      </c>
      <c r="J373" s="230">
        <f>Proj_Inputs!$B$46+(Proj_Inputs!$C$46-Proj_Inputs!$B$46)*D373</f>
        <v>4.681600000000008E-3</v>
      </c>
      <c r="K373" s="230">
        <f>Proj_Inputs!$B$47+(Proj_Inputs!$C$47-Proj_Inputs!$B$47)*E373</f>
        <v>5.3586499999999995E-2</v>
      </c>
      <c r="L373" s="230">
        <f>Proj_Inputs!$B$46+(Proj_Inputs!$C$46-Proj_Inputs!$B$46)*F373</f>
        <v>2.8410000000000019E-2</v>
      </c>
      <c r="M373" s="230">
        <f>Proj_Inputs!$B$47+(Proj_Inputs!$C$47-Proj_Inputs!$B$47)*G373</f>
        <v>-1.2048500000000004E-2</v>
      </c>
      <c r="N373" s="231">
        <f>(1+H373)*(Proj_Inputs!$B$20+J373)/Proj_Inputs!$B$20*((Proj_Inputs!$B$21+I373)*(1-Proj_Inputs!$B$24)*NPV_Pirelli!$B$47+NPV_Pirelli!$B$49)+(1+K373)*NPV_Pirelli!$B$48</f>
        <v>57.771351353050818</v>
      </c>
      <c r="O373" s="231">
        <f>(1+H373)*(Proj_Inputs!$C$20+L373)/Proj_Inputs!$C$20*((Proj_Inputs!$C$21+I373)*(1-Proj_Inputs!$C$24)*NPV_Hankook!$B$47+NPV_Hankook!$B$49)+(1+M373)*NPV_Hankook!$B$48</f>
        <v>-375.19827485830842</v>
      </c>
    </row>
    <row r="374" spans="1:15" x14ac:dyDescent="0.2">
      <c r="A374" s="228">
        <v>350</v>
      </c>
      <c r="B374" s="229">
        <v>0.18528700000000001</v>
      </c>
      <c r="C374" s="229">
        <v>0.114173</v>
      </c>
      <c r="D374" s="229">
        <v>0.89450499999999999</v>
      </c>
      <c r="E374" s="229">
        <v>2.9789999999999999E-3</v>
      </c>
      <c r="F374" s="229">
        <v>0.161888</v>
      </c>
      <c r="G374" s="229">
        <v>0.55088700000000002</v>
      </c>
      <c r="H374" s="230">
        <f>Proj_Inputs!$B$44+(Proj_Inputs!$C$44-Proj_Inputs!$B$44)*B374</f>
        <v>-6.2942600000000001E-2</v>
      </c>
      <c r="I374" s="230">
        <f>Proj_Inputs!$B$45+(Proj_Inputs!$C$45-Proj_Inputs!$B$45)*C374</f>
        <v>-3.086616E-2</v>
      </c>
      <c r="J374" s="230">
        <f>Proj_Inputs!$B$46+(Proj_Inputs!$C$46-Proj_Inputs!$B$46)*D374</f>
        <v>2.890100000000001E-2</v>
      </c>
      <c r="K374" s="230">
        <f>Proj_Inputs!$B$47+(Proj_Inputs!$C$47-Proj_Inputs!$B$47)*E374</f>
        <v>-4.925525E-2</v>
      </c>
      <c r="L374" s="230">
        <f>Proj_Inputs!$B$46+(Proj_Inputs!$C$46-Proj_Inputs!$B$46)*F374</f>
        <v>-0.11762239999999999</v>
      </c>
      <c r="M374" s="230">
        <f>Proj_Inputs!$B$47+(Proj_Inputs!$C$47-Proj_Inputs!$B$47)*G374</f>
        <v>8.7721750000000001E-2</v>
      </c>
      <c r="N374" s="231">
        <f>(1+H374)*(Proj_Inputs!$B$20+J374)/Proj_Inputs!$B$20*((Proj_Inputs!$B$21+I374)*(1-Proj_Inputs!$B$24)*NPV_Pirelli!$B$47+NPV_Pirelli!$B$49)+(1+K374)*NPV_Pirelli!$B$48</f>
        <v>220.26656835147776</v>
      </c>
      <c r="O374" s="231">
        <f>(1+H374)*(Proj_Inputs!$C$20+L374)/Proj_Inputs!$C$20*((Proj_Inputs!$C$21+I374)*(1-Proj_Inputs!$C$24)*NPV_Hankook!$B$47+NPV_Hankook!$B$49)+(1+M374)*NPV_Hankook!$B$48</f>
        <v>-563.14797568474478</v>
      </c>
    </row>
    <row r="375" spans="1:15" x14ac:dyDescent="0.2">
      <c r="A375" s="228">
        <v>351</v>
      </c>
      <c r="B375" s="229">
        <v>0.13514899999999999</v>
      </c>
      <c r="C375" s="229">
        <v>0.35306100000000001</v>
      </c>
      <c r="D375" s="229">
        <v>8.7229000000000001E-2</v>
      </c>
      <c r="E375" s="229">
        <v>0.113375</v>
      </c>
      <c r="F375" s="229">
        <v>0.40484700000000001</v>
      </c>
      <c r="G375" s="229">
        <v>0.74803299999999995</v>
      </c>
      <c r="H375" s="230">
        <f>Proj_Inputs!$B$44+(Proj_Inputs!$C$44-Proj_Inputs!$B$44)*B375</f>
        <v>-7.2970200000000013E-2</v>
      </c>
      <c r="I375" s="230">
        <f>Proj_Inputs!$B$45+(Proj_Inputs!$C$45-Proj_Inputs!$B$45)*C375</f>
        <v>-1.1755120000000001E-2</v>
      </c>
      <c r="J375" s="230">
        <f>Proj_Inputs!$B$46+(Proj_Inputs!$C$46-Proj_Inputs!$B$46)*D375</f>
        <v>-0.13255419999999998</v>
      </c>
      <c r="K375" s="230">
        <f>Proj_Inputs!$B$47+(Proj_Inputs!$C$47-Proj_Inputs!$B$47)*E375</f>
        <v>-2.1656250000000002E-2</v>
      </c>
      <c r="L375" s="230">
        <f>Proj_Inputs!$B$46+(Proj_Inputs!$C$46-Proj_Inputs!$B$46)*F375</f>
        <v>-6.9030599999999984E-2</v>
      </c>
      <c r="M375" s="230">
        <f>Proj_Inputs!$B$47+(Proj_Inputs!$C$47-Proj_Inputs!$B$47)*G375</f>
        <v>0.13700825</v>
      </c>
      <c r="N375" s="231">
        <f>(1+H375)*(Proj_Inputs!$B$20+J375)/Proj_Inputs!$B$20*((Proj_Inputs!$B$21+I375)*(1-Proj_Inputs!$B$24)*NPV_Pirelli!$B$47+NPV_Pirelli!$B$49)+(1+K375)*NPV_Pirelli!$B$48</f>
        <v>114.82922551096783</v>
      </c>
      <c r="O375" s="231">
        <f>(1+H375)*(Proj_Inputs!$C$20+L375)/Proj_Inputs!$C$20*((Proj_Inputs!$C$21+I375)*(1-Proj_Inputs!$C$24)*NPV_Hankook!$B$47+NPV_Hankook!$B$49)+(1+M375)*NPV_Hankook!$B$48</f>
        <v>-472.75013655684825</v>
      </c>
    </row>
    <row r="376" spans="1:15" x14ac:dyDescent="0.2">
      <c r="A376" s="228">
        <v>352</v>
      </c>
      <c r="B376" s="229">
        <v>0.139569</v>
      </c>
      <c r="C376" s="229">
        <v>0.77567799999999998</v>
      </c>
      <c r="D376" s="229">
        <v>0.32784999999999997</v>
      </c>
      <c r="E376" s="229">
        <v>0.29785</v>
      </c>
      <c r="F376" s="229">
        <v>0.88116899999999998</v>
      </c>
      <c r="G376" s="229">
        <v>0.83823700000000001</v>
      </c>
      <c r="H376" s="230">
        <f>Proj_Inputs!$B$44+(Proj_Inputs!$C$44-Proj_Inputs!$B$44)*B376</f>
        <v>-7.2086200000000003E-2</v>
      </c>
      <c r="I376" s="230">
        <f>Proj_Inputs!$B$45+(Proj_Inputs!$C$45-Proj_Inputs!$B$45)*C376</f>
        <v>2.2054239999999996E-2</v>
      </c>
      <c r="J376" s="230">
        <f>Proj_Inputs!$B$46+(Proj_Inputs!$C$46-Proj_Inputs!$B$46)*D376</f>
        <v>-8.4429999999999991E-2</v>
      </c>
      <c r="K376" s="230">
        <f>Proj_Inputs!$B$47+(Proj_Inputs!$C$47-Proj_Inputs!$B$47)*E376</f>
        <v>2.4462499999999998E-2</v>
      </c>
      <c r="L376" s="230">
        <f>Proj_Inputs!$B$46+(Proj_Inputs!$C$46-Proj_Inputs!$B$46)*F376</f>
        <v>2.6233800000000002E-2</v>
      </c>
      <c r="M376" s="230">
        <f>Proj_Inputs!$B$47+(Proj_Inputs!$C$47-Proj_Inputs!$B$47)*G376</f>
        <v>0.15955924999999999</v>
      </c>
      <c r="N376" s="231">
        <f>(1+H376)*(Proj_Inputs!$B$20+J376)/Proj_Inputs!$B$20*((Proj_Inputs!$B$21+I376)*(1-Proj_Inputs!$B$24)*NPV_Pirelli!$B$47+NPV_Pirelli!$B$49)+(1+K376)*NPV_Pirelli!$B$48</f>
        <v>310.8021356994833</v>
      </c>
      <c r="O376" s="231">
        <f>(1+H376)*(Proj_Inputs!$C$20+L376)/Proj_Inputs!$C$20*((Proj_Inputs!$C$21+I376)*(1-Proj_Inputs!$C$24)*NPV_Hankook!$B$47+NPV_Hankook!$B$49)+(1+M376)*NPV_Hankook!$B$48</f>
        <v>-179.3753166388467</v>
      </c>
    </row>
    <row r="377" spans="1:15" x14ac:dyDescent="0.2">
      <c r="A377" s="228">
        <v>353</v>
      </c>
      <c r="B377" s="229">
        <v>0.19289500000000001</v>
      </c>
      <c r="C377" s="229">
        <v>0.13459399999999999</v>
      </c>
      <c r="D377" s="229">
        <v>0.644428</v>
      </c>
      <c r="E377" s="229">
        <v>0.88836599999999999</v>
      </c>
      <c r="F377" s="229">
        <v>0.93525400000000003</v>
      </c>
      <c r="G377" s="229">
        <v>0.11727600000000001</v>
      </c>
      <c r="H377" s="230">
        <f>Proj_Inputs!$B$44+(Proj_Inputs!$C$44-Proj_Inputs!$B$44)*B377</f>
        <v>-6.1421000000000003E-2</v>
      </c>
      <c r="I377" s="230">
        <f>Proj_Inputs!$B$45+(Proj_Inputs!$C$45-Proj_Inputs!$B$45)*C377</f>
        <v>-2.9232480000000002E-2</v>
      </c>
      <c r="J377" s="230">
        <f>Proj_Inputs!$B$46+(Proj_Inputs!$C$46-Proj_Inputs!$B$46)*D377</f>
        <v>-2.1114399999999978E-2</v>
      </c>
      <c r="K377" s="230">
        <f>Proj_Inputs!$B$47+(Proj_Inputs!$C$47-Proj_Inputs!$B$47)*E377</f>
        <v>0.17209150000000001</v>
      </c>
      <c r="L377" s="230">
        <f>Proj_Inputs!$B$46+(Proj_Inputs!$C$46-Proj_Inputs!$B$46)*F377</f>
        <v>3.7050800000000023E-2</v>
      </c>
      <c r="M377" s="230">
        <f>Proj_Inputs!$B$47+(Proj_Inputs!$C$47-Proj_Inputs!$B$47)*G377</f>
        <v>-2.0681000000000001E-2</v>
      </c>
      <c r="N377" s="231">
        <f>(1+H377)*(Proj_Inputs!$B$20+J377)/Proj_Inputs!$B$20*((Proj_Inputs!$B$21+I377)*(1-Proj_Inputs!$B$24)*NPV_Pirelli!$B$47+NPV_Pirelli!$B$49)+(1+K377)*NPV_Pirelli!$B$48</f>
        <v>4.3042991768552383</v>
      </c>
      <c r="O377" s="231">
        <f>(1+H377)*(Proj_Inputs!$C$20+L377)/Proj_Inputs!$C$20*((Proj_Inputs!$C$21+I377)*(1-Proj_Inputs!$C$24)*NPV_Hankook!$B$47+NPV_Hankook!$B$49)+(1+M377)*NPV_Hankook!$B$48</f>
        <v>-285.91210678584434</v>
      </c>
    </row>
    <row r="378" spans="1:15" x14ac:dyDescent="0.2">
      <c r="A378" s="228">
        <v>354</v>
      </c>
      <c r="B378" s="229">
        <v>0.280667</v>
      </c>
      <c r="C378" s="229">
        <v>0.89873899999999995</v>
      </c>
      <c r="D378" s="229">
        <v>0.82791499999999996</v>
      </c>
      <c r="E378" s="229">
        <v>0.44895200000000002</v>
      </c>
      <c r="F378" s="229">
        <v>0.101982</v>
      </c>
      <c r="G378" s="229">
        <v>0.335148</v>
      </c>
      <c r="H378" s="230">
        <f>Proj_Inputs!$B$44+(Proj_Inputs!$C$44-Proj_Inputs!$B$44)*B378</f>
        <v>-4.3866600000000006E-2</v>
      </c>
      <c r="I378" s="230">
        <f>Proj_Inputs!$B$45+(Proj_Inputs!$C$45-Proj_Inputs!$B$45)*C378</f>
        <v>3.1899119999999996E-2</v>
      </c>
      <c r="J378" s="230">
        <f>Proj_Inputs!$B$46+(Proj_Inputs!$C$46-Proj_Inputs!$B$46)*D378</f>
        <v>1.5583000000000014E-2</v>
      </c>
      <c r="K378" s="230">
        <f>Proj_Inputs!$B$47+(Proj_Inputs!$C$47-Proj_Inputs!$B$47)*E378</f>
        <v>6.2238000000000002E-2</v>
      </c>
      <c r="L378" s="230">
        <f>Proj_Inputs!$B$46+(Proj_Inputs!$C$46-Proj_Inputs!$B$46)*F378</f>
        <v>-0.12960359999999999</v>
      </c>
      <c r="M378" s="230">
        <f>Proj_Inputs!$B$47+(Proj_Inputs!$C$47-Proj_Inputs!$B$47)*G378</f>
        <v>3.3786999999999998E-2</v>
      </c>
      <c r="N378" s="231">
        <f>(1+H378)*(Proj_Inputs!$B$20+J378)/Proj_Inputs!$B$20*((Proj_Inputs!$B$21+I378)*(1-Proj_Inputs!$B$24)*NPV_Pirelli!$B$47+NPV_Pirelli!$B$49)+(1+K378)*NPV_Pirelli!$B$48</f>
        <v>515.59887346408402</v>
      </c>
      <c r="O378" s="231">
        <f>(1+H378)*(Proj_Inputs!$C$20+L378)/Proj_Inputs!$C$20*((Proj_Inputs!$C$21+I378)*(1-Proj_Inputs!$C$24)*NPV_Hankook!$B$47+NPV_Hankook!$B$49)+(1+M378)*NPV_Hankook!$B$48</f>
        <v>-145.03485899953534</v>
      </c>
    </row>
    <row r="379" spans="1:15" x14ac:dyDescent="0.2">
      <c r="A379" s="228">
        <v>355</v>
      </c>
      <c r="B379" s="229">
        <v>0.84900699999999996</v>
      </c>
      <c r="C379" s="229">
        <v>0.55042800000000003</v>
      </c>
      <c r="D379" s="229">
        <v>0.40846399999999999</v>
      </c>
      <c r="E379" s="229">
        <v>0.78637699999999999</v>
      </c>
      <c r="F379" s="229">
        <v>0.11733300000000001</v>
      </c>
      <c r="G379" s="229">
        <v>0.29145900000000002</v>
      </c>
      <c r="H379" s="230">
        <f>Proj_Inputs!$B$44+(Proj_Inputs!$C$44-Proj_Inputs!$B$44)*B379</f>
        <v>6.9801399999999986E-2</v>
      </c>
      <c r="I379" s="230">
        <f>Proj_Inputs!$B$45+(Proj_Inputs!$C$45-Proj_Inputs!$B$45)*C379</f>
        <v>4.0342400000000014E-3</v>
      </c>
      <c r="J379" s="230">
        <f>Proj_Inputs!$B$46+(Proj_Inputs!$C$46-Proj_Inputs!$B$46)*D379</f>
        <v>-6.8307199999999985E-2</v>
      </c>
      <c r="K379" s="230">
        <f>Proj_Inputs!$B$47+(Proj_Inputs!$C$47-Proj_Inputs!$B$47)*E379</f>
        <v>0.14659424999999998</v>
      </c>
      <c r="L379" s="230">
        <f>Proj_Inputs!$B$46+(Proj_Inputs!$C$46-Proj_Inputs!$B$46)*F379</f>
        <v>-0.12653339999999999</v>
      </c>
      <c r="M379" s="230">
        <f>Proj_Inputs!$B$47+(Proj_Inputs!$C$47-Proj_Inputs!$B$47)*G379</f>
        <v>2.2864750000000003E-2</v>
      </c>
      <c r="N379" s="231">
        <f>(1+H379)*(Proj_Inputs!$B$20+J379)/Proj_Inputs!$B$20*((Proj_Inputs!$B$21+I379)*(1-Proj_Inputs!$B$24)*NPV_Pirelli!$B$47+NPV_Pirelli!$B$49)+(1+K379)*NPV_Pirelli!$B$48</f>
        <v>300.82613910842178</v>
      </c>
      <c r="O379" s="231">
        <f>(1+H379)*(Proj_Inputs!$C$20+L379)/Proj_Inputs!$C$20*((Proj_Inputs!$C$21+I379)*(1-Proj_Inputs!$C$24)*NPV_Hankook!$B$47+NPV_Hankook!$B$49)+(1+M379)*NPV_Hankook!$B$48</f>
        <v>-177.45567637982265</v>
      </c>
    </row>
    <row r="380" spans="1:15" x14ac:dyDescent="0.2">
      <c r="A380" s="228">
        <v>356</v>
      </c>
      <c r="B380" s="229">
        <v>0.68413900000000005</v>
      </c>
      <c r="C380" s="229">
        <v>0.53596100000000002</v>
      </c>
      <c r="D380" s="229">
        <v>0.71138500000000005</v>
      </c>
      <c r="E380" s="229">
        <v>0.75776100000000002</v>
      </c>
      <c r="F380" s="229">
        <v>0.19756000000000001</v>
      </c>
      <c r="G380" s="229">
        <v>0.39949200000000001</v>
      </c>
      <c r="H380" s="230">
        <f>Proj_Inputs!$B$44+(Proj_Inputs!$C$44-Proj_Inputs!$B$44)*B380</f>
        <v>3.6827800000000022E-2</v>
      </c>
      <c r="I380" s="230">
        <f>Proj_Inputs!$B$45+(Proj_Inputs!$C$45-Proj_Inputs!$B$45)*C380</f>
        <v>2.8768799999999983E-3</v>
      </c>
      <c r="J380" s="230">
        <f>Proj_Inputs!$B$46+(Proj_Inputs!$C$46-Proj_Inputs!$B$46)*D380</f>
        <v>-7.7229999999999799E-3</v>
      </c>
      <c r="K380" s="230">
        <f>Proj_Inputs!$B$47+(Proj_Inputs!$C$47-Proj_Inputs!$B$47)*E380</f>
        <v>0.13944024999999999</v>
      </c>
      <c r="L380" s="230">
        <f>Proj_Inputs!$B$46+(Proj_Inputs!$C$46-Proj_Inputs!$B$46)*F380</f>
        <v>-0.11048799999999999</v>
      </c>
      <c r="M380" s="230">
        <f>Proj_Inputs!$B$47+(Proj_Inputs!$C$47-Proj_Inputs!$B$47)*G380</f>
        <v>4.9873000000000001E-2</v>
      </c>
      <c r="N380" s="231">
        <f>(1+H380)*(Proj_Inputs!$B$20+J380)/Proj_Inputs!$B$20*((Proj_Inputs!$B$21+I380)*(1-Proj_Inputs!$B$24)*NPV_Pirelli!$B$47+NPV_Pirelli!$B$49)+(1+K380)*NPV_Pirelli!$B$48</f>
        <v>347.02747325903033</v>
      </c>
      <c r="O380" s="231">
        <f>(1+H380)*(Proj_Inputs!$C$20+L380)/Proj_Inputs!$C$20*((Proj_Inputs!$C$21+I380)*(1-Proj_Inputs!$C$24)*NPV_Hankook!$B$47+NPV_Hankook!$B$49)+(1+M380)*NPV_Hankook!$B$48</f>
        <v>-226.93889251148391</v>
      </c>
    </row>
    <row r="381" spans="1:15" x14ac:dyDescent="0.2">
      <c r="A381" s="228">
        <v>357</v>
      </c>
      <c r="B381" s="229">
        <v>0.77328699999999995</v>
      </c>
      <c r="C381" s="229">
        <v>0.73390100000000003</v>
      </c>
      <c r="D381" s="229">
        <v>0.70702100000000001</v>
      </c>
      <c r="E381" s="229">
        <v>7.2078000000000003E-2</v>
      </c>
      <c r="F381" s="229">
        <v>0.85722500000000001</v>
      </c>
      <c r="G381" s="229">
        <v>0.82017200000000001</v>
      </c>
      <c r="H381" s="230">
        <f>Proj_Inputs!$B$44+(Proj_Inputs!$C$44-Proj_Inputs!$B$44)*B381</f>
        <v>5.4657399999999995E-2</v>
      </c>
      <c r="I381" s="230">
        <f>Proj_Inputs!$B$45+(Proj_Inputs!$C$45-Proj_Inputs!$B$45)*C381</f>
        <v>1.8712079999999999E-2</v>
      </c>
      <c r="J381" s="230">
        <f>Proj_Inputs!$B$46+(Proj_Inputs!$C$46-Proj_Inputs!$B$46)*D381</f>
        <v>-8.5957999999999868E-3</v>
      </c>
      <c r="K381" s="230">
        <f>Proj_Inputs!$B$47+(Proj_Inputs!$C$47-Proj_Inputs!$B$47)*E381</f>
        <v>-3.1980500000000002E-2</v>
      </c>
      <c r="L381" s="230">
        <f>Proj_Inputs!$B$46+(Proj_Inputs!$C$46-Proj_Inputs!$B$46)*F381</f>
        <v>2.144500000000002E-2</v>
      </c>
      <c r="M381" s="230">
        <f>Proj_Inputs!$B$47+(Proj_Inputs!$C$47-Proj_Inputs!$B$47)*G381</f>
        <v>0.15504299999999999</v>
      </c>
      <c r="N381" s="231">
        <f>(1+H381)*(Proj_Inputs!$B$20+J381)/Proj_Inputs!$B$20*((Proj_Inputs!$B$21+I381)*(1-Proj_Inputs!$B$24)*NPV_Pirelli!$B$47+NPV_Pirelli!$B$49)+(1+K381)*NPV_Pirelli!$B$48</f>
        <v>604.66924195854801</v>
      </c>
      <c r="O381" s="231">
        <f>(1+H381)*(Proj_Inputs!$C$20+L381)/Proj_Inputs!$C$20*((Proj_Inputs!$C$21+I381)*(1-Proj_Inputs!$C$24)*NPV_Hankook!$B$47+NPV_Hankook!$B$49)+(1+M381)*NPV_Hankook!$B$48</f>
        <v>-45.977724468376209</v>
      </c>
    </row>
    <row r="382" spans="1:15" x14ac:dyDescent="0.2">
      <c r="A382" s="228">
        <v>358</v>
      </c>
      <c r="B382" s="229">
        <v>0.63734800000000003</v>
      </c>
      <c r="C382" s="229">
        <v>0.15116599999999999</v>
      </c>
      <c r="D382" s="229">
        <v>0.47837600000000002</v>
      </c>
      <c r="E382" s="229">
        <v>5.2732000000000001E-2</v>
      </c>
      <c r="F382" s="229">
        <v>0.34240700000000002</v>
      </c>
      <c r="G382" s="229">
        <v>0.10362399999999999</v>
      </c>
      <c r="H382" s="230">
        <f>Proj_Inputs!$B$44+(Proj_Inputs!$C$44-Proj_Inputs!$B$44)*B382</f>
        <v>2.7469600000000011E-2</v>
      </c>
      <c r="I382" s="230">
        <f>Proj_Inputs!$B$45+(Proj_Inputs!$C$45-Proj_Inputs!$B$45)*C382</f>
        <v>-2.7906720000000003E-2</v>
      </c>
      <c r="J382" s="230">
        <f>Proj_Inputs!$B$46+(Proj_Inputs!$C$46-Proj_Inputs!$B$46)*D382</f>
        <v>-5.4324799999999979E-2</v>
      </c>
      <c r="K382" s="230">
        <f>Proj_Inputs!$B$47+(Proj_Inputs!$C$47-Proj_Inputs!$B$47)*E382</f>
        <v>-3.6817000000000003E-2</v>
      </c>
      <c r="L382" s="230">
        <f>Proj_Inputs!$B$46+(Proj_Inputs!$C$46-Proj_Inputs!$B$46)*F382</f>
        <v>-8.1518599999999983E-2</v>
      </c>
      <c r="M382" s="230">
        <f>Proj_Inputs!$B$47+(Proj_Inputs!$C$47-Proj_Inputs!$B$47)*G382</f>
        <v>-2.4094000000000004E-2</v>
      </c>
      <c r="N382" s="231">
        <f>(1+H382)*(Proj_Inputs!$B$20+J382)/Proj_Inputs!$B$20*((Proj_Inputs!$B$21+I382)*(1-Proj_Inputs!$B$24)*NPV_Pirelli!$B$47+NPV_Pirelli!$B$49)+(1+K382)*NPV_Pirelli!$B$48</f>
        <v>226.43359949687783</v>
      </c>
      <c r="O382" s="231">
        <f>(1+H382)*(Proj_Inputs!$C$20+L382)/Proj_Inputs!$C$20*((Proj_Inputs!$C$21+I382)*(1-Proj_Inputs!$C$24)*NPV_Hankook!$B$47+NPV_Hankook!$B$49)+(1+M382)*NPV_Hankook!$B$48</f>
        <v>-310.83742141990604</v>
      </c>
    </row>
    <row r="383" spans="1:15" x14ac:dyDescent="0.2">
      <c r="A383" s="228">
        <v>359</v>
      </c>
      <c r="B383" s="229">
        <v>0.90598299999999998</v>
      </c>
      <c r="C383" s="229">
        <v>0.94319299999999995</v>
      </c>
      <c r="D383" s="229">
        <v>0.52098999999999995</v>
      </c>
      <c r="E383" s="229">
        <v>1.072E-3</v>
      </c>
      <c r="F383" s="229">
        <v>0.138937</v>
      </c>
      <c r="G383" s="229">
        <v>0.83157300000000001</v>
      </c>
      <c r="H383" s="230">
        <f>Proj_Inputs!$B$44+(Proj_Inputs!$C$44-Proj_Inputs!$B$44)*B383</f>
        <v>8.1196600000000008E-2</v>
      </c>
      <c r="I383" s="230">
        <f>Proj_Inputs!$B$45+(Proj_Inputs!$C$45-Proj_Inputs!$B$45)*C383</f>
        <v>3.5455439999999998E-2</v>
      </c>
      <c r="J383" s="230">
        <f>Proj_Inputs!$B$46+(Proj_Inputs!$C$46-Proj_Inputs!$B$46)*D383</f>
        <v>-4.5801999999999995E-2</v>
      </c>
      <c r="K383" s="230">
        <f>Proj_Inputs!$B$47+(Proj_Inputs!$C$47-Proj_Inputs!$B$47)*E383</f>
        <v>-4.9732000000000005E-2</v>
      </c>
      <c r="L383" s="230">
        <f>Proj_Inputs!$B$46+(Proj_Inputs!$C$46-Proj_Inputs!$B$46)*F383</f>
        <v>-0.12221259999999999</v>
      </c>
      <c r="M383" s="230">
        <f>Proj_Inputs!$B$47+(Proj_Inputs!$C$47-Proj_Inputs!$B$47)*G383</f>
        <v>0.15789324999999999</v>
      </c>
      <c r="N383" s="231">
        <f>(1+H383)*(Proj_Inputs!$B$20+J383)/Proj_Inputs!$B$20*((Proj_Inputs!$B$21+I383)*(1-Proj_Inputs!$B$24)*NPV_Pirelli!$B$47+NPV_Pirelli!$B$49)+(1+K383)*NPV_Pirelli!$B$48</f>
        <v>700.84394677324508</v>
      </c>
      <c r="O383" s="231">
        <f>(1+H383)*(Proj_Inputs!$C$20+L383)/Proj_Inputs!$C$20*((Proj_Inputs!$C$21+I383)*(1-Proj_Inputs!$C$24)*NPV_Hankook!$B$47+NPV_Hankook!$B$49)+(1+M383)*NPV_Hankook!$B$48</f>
        <v>-116.83039575521207</v>
      </c>
    </row>
    <row r="384" spans="1:15" x14ac:dyDescent="0.2">
      <c r="A384" s="228">
        <v>360</v>
      </c>
      <c r="B384" s="229">
        <v>0.59551399999999999</v>
      </c>
      <c r="C384" s="229">
        <v>0.61907999999999996</v>
      </c>
      <c r="D384" s="229">
        <v>0.87460599999999999</v>
      </c>
      <c r="E384" s="229">
        <v>5.7119999999999997E-2</v>
      </c>
      <c r="F384" s="229">
        <v>7.2926000000000005E-2</v>
      </c>
      <c r="G384" s="229">
        <v>4.1336999999999999E-2</v>
      </c>
      <c r="H384" s="230">
        <f>Proj_Inputs!$B$44+(Proj_Inputs!$C$44-Proj_Inputs!$B$44)*B384</f>
        <v>1.9102800000000003E-2</v>
      </c>
      <c r="I384" s="230">
        <f>Proj_Inputs!$B$45+(Proj_Inputs!$C$45-Proj_Inputs!$B$45)*C384</f>
        <v>9.5263999999999974E-3</v>
      </c>
      <c r="J384" s="230">
        <f>Proj_Inputs!$B$46+(Proj_Inputs!$C$46-Proj_Inputs!$B$46)*D384</f>
        <v>2.4921200000000004E-2</v>
      </c>
      <c r="K384" s="230">
        <f>Proj_Inputs!$B$47+(Proj_Inputs!$C$47-Proj_Inputs!$B$47)*E384</f>
        <v>-3.5720000000000002E-2</v>
      </c>
      <c r="L384" s="230">
        <f>Proj_Inputs!$B$46+(Proj_Inputs!$C$46-Proj_Inputs!$B$46)*F384</f>
        <v>-0.1354148</v>
      </c>
      <c r="M384" s="230">
        <f>Proj_Inputs!$B$47+(Proj_Inputs!$C$47-Proj_Inputs!$B$47)*G384</f>
        <v>-3.966575E-2</v>
      </c>
      <c r="N384" s="231">
        <f>(1+H384)*(Proj_Inputs!$B$20+J384)/Proj_Inputs!$B$20*((Proj_Inputs!$B$21+I384)*(1-Proj_Inputs!$B$24)*NPV_Pirelli!$B$47+NPV_Pirelli!$B$49)+(1+K384)*NPV_Pirelli!$B$48</f>
        <v>551.68851194134891</v>
      </c>
      <c r="O384" s="231">
        <f>(1+H384)*(Proj_Inputs!$C$20+L384)/Proj_Inputs!$C$20*((Proj_Inputs!$C$21+I384)*(1-Proj_Inputs!$C$24)*NPV_Hankook!$B$47+NPV_Hankook!$B$49)+(1+M384)*NPV_Hankook!$B$48</f>
        <v>-131.18239070289258</v>
      </c>
    </row>
    <row r="385" spans="1:15" x14ac:dyDescent="0.2">
      <c r="A385" s="228">
        <v>361</v>
      </c>
      <c r="B385" s="229">
        <v>0.78088400000000002</v>
      </c>
      <c r="C385" s="229">
        <v>0.64336400000000005</v>
      </c>
      <c r="D385" s="229">
        <v>0.92618800000000001</v>
      </c>
      <c r="E385" s="229">
        <v>0.25290099999999999</v>
      </c>
      <c r="F385" s="229">
        <v>2.4278999999999998E-2</v>
      </c>
      <c r="G385" s="229">
        <v>0.97280500000000003</v>
      </c>
      <c r="H385" s="230">
        <f>Proj_Inputs!$B$44+(Proj_Inputs!$C$44-Proj_Inputs!$B$44)*B385</f>
        <v>5.6176799999999999E-2</v>
      </c>
      <c r="I385" s="230">
        <f>Proj_Inputs!$B$45+(Proj_Inputs!$C$45-Proj_Inputs!$B$45)*C385</f>
        <v>1.1469120000000006E-2</v>
      </c>
      <c r="J385" s="230">
        <f>Proj_Inputs!$B$46+(Proj_Inputs!$C$46-Proj_Inputs!$B$46)*D385</f>
        <v>3.5237600000000008E-2</v>
      </c>
      <c r="K385" s="230">
        <f>Proj_Inputs!$B$47+(Proj_Inputs!$C$47-Proj_Inputs!$B$47)*E385</f>
        <v>1.3225249999999994E-2</v>
      </c>
      <c r="L385" s="230">
        <f>Proj_Inputs!$B$46+(Proj_Inputs!$C$46-Proj_Inputs!$B$46)*F385</f>
        <v>-0.1451442</v>
      </c>
      <c r="M385" s="230">
        <f>Proj_Inputs!$B$47+(Proj_Inputs!$C$47-Proj_Inputs!$B$47)*G385</f>
        <v>0.19320124999999999</v>
      </c>
      <c r="N385" s="231">
        <f>(1+H385)*(Proj_Inputs!$B$20+J385)/Proj_Inputs!$B$20*((Proj_Inputs!$B$21+I385)*(1-Proj_Inputs!$B$24)*NPV_Pirelli!$B$47+NPV_Pirelli!$B$49)+(1+K385)*NPV_Pirelli!$B$48</f>
        <v>589.18232764987647</v>
      </c>
      <c r="O385" s="231">
        <f>(1+H385)*(Proj_Inputs!$C$20+L385)/Proj_Inputs!$C$20*((Proj_Inputs!$C$21+I385)*(1-Proj_Inputs!$C$24)*NPV_Hankook!$B$47+NPV_Hankook!$B$49)+(1+M385)*NPV_Hankook!$B$48</f>
        <v>-367.41831022278325</v>
      </c>
    </row>
    <row r="386" spans="1:15" x14ac:dyDescent="0.2">
      <c r="A386" s="228">
        <v>362</v>
      </c>
      <c r="B386" s="229">
        <v>0.21609700000000001</v>
      </c>
      <c r="C386" s="229">
        <v>0.34073799999999999</v>
      </c>
      <c r="D386" s="229">
        <v>0.853738</v>
      </c>
      <c r="E386" s="229">
        <v>6.9764999999999994E-2</v>
      </c>
      <c r="F386" s="229">
        <v>0.169543</v>
      </c>
      <c r="G386" s="229">
        <v>0.91204099999999999</v>
      </c>
      <c r="H386" s="230">
        <f>Proj_Inputs!$B$44+(Proj_Inputs!$C$44-Proj_Inputs!$B$44)*B386</f>
        <v>-5.6780600000000001E-2</v>
      </c>
      <c r="I386" s="230">
        <f>Proj_Inputs!$B$45+(Proj_Inputs!$C$45-Proj_Inputs!$B$45)*C386</f>
        <v>-1.2740960000000003E-2</v>
      </c>
      <c r="J386" s="230">
        <f>Proj_Inputs!$B$46+(Proj_Inputs!$C$46-Proj_Inputs!$B$46)*D386</f>
        <v>2.0747600000000005E-2</v>
      </c>
      <c r="K386" s="230">
        <f>Proj_Inputs!$B$47+(Proj_Inputs!$C$47-Proj_Inputs!$B$47)*E386</f>
        <v>-3.2558750000000004E-2</v>
      </c>
      <c r="L386" s="230">
        <f>Proj_Inputs!$B$46+(Proj_Inputs!$C$46-Proj_Inputs!$B$46)*F386</f>
        <v>-0.11609139999999998</v>
      </c>
      <c r="M386" s="230">
        <f>Proj_Inputs!$B$47+(Proj_Inputs!$C$47-Proj_Inputs!$B$47)*G386</f>
        <v>0.17801024999999998</v>
      </c>
      <c r="N386" s="231">
        <f>(1+H386)*(Proj_Inputs!$B$20+J386)/Proj_Inputs!$B$20*((Proj_Inputs!$B$21+I386)*(1-Proj_Inputs!$B$24)*NPV_Pirelli!$B$47+NPV_Pirelli!$B$49)+(1+K386)*NPV_Pirelli!$B$48</f>
        <v>313.11012952019871</v>
      </c>
      <c r="O386" s="231">
        <f>(1+H386)*(Proj_Inputs!$C$20+L386)/Proj_Inputs!$C$20*((Proj_Inputs!$C$21+I386)*(1-Proj_Inputs!$C$24)*NPV_Hankook!$B$47+NPV_Hankook!$B$49)+(1+M386)*NPV_Hankook!$B$48</f>
        <v>-560.1310648525415</v>
      </c>
    </row>
    <row r="387" spans="1:15" x14ac:dyDescent="0.2">
      <c r="A387" s="228">
        <v>363</v>
      </c>
      <c r="B387" s="229">
        <v>0.180367</v>
      </c>
      <c r="C387" s="229">
        <v>0.87105200000000005</v>
      </c>
      <c r="D387" s="229">
        <v>0.90736700000000003</v>
      </c>
      <c r="E387" s="229">
        <v>0.41552</v>
      </c>
      <c r="F387" s="229">
        <v>0.40091900000000003</v>
      </c>
      <c r="G387" s="229">
        <v>0.50836999999999999</v>
      </c>
      <c r="H387" s="230">
        <f>Proj_Inputs!$B$44+(Proj_Inputs!$C$44-Proj_Inputs!$B$44)*B387</f>
        <v>-6.39266E-2</v>
      </c>
      <c r="I387" s="230">
        <f>Proj_Inputs!$B$45+(Proj_Inputs!$C$45-Proj_Inputs!$B$45)*C387</f>
        <v>2.9684160000000008E-2</v>
      </c>
      <c r="J387" s="230">
        <f>Proj_Inputs!$B$46+(Proj_Inputs!$C$46-Proj_Inputs!$B$46)*D387</f>
        <v>3.1473400000000012E-2</v>
      </c>
      <c r="K387" s="230">
        <f>Proj_Inputs!$B$47+(Proj_Inputs!$C$47-Proj_Inputs!$B$47)*E387</f>
        <v>5.3879999999999997E-2</v>
      </c>
      <c r="L387" s="230">
        <f>Proj_Inputs!$B$46+(Proj_Inputs!$C$46-Proj_Inputs!$B$46)*F387</f>
        <v>-6.9816199999999981E-2</v>
      </c>
      <c r="M387" s="230">
        <f>Proj_Inputs!$B$47+(Proj_Inputs!$C$47-Proj_Inputs!$B$47)*G387</f>
        <v>7.7092499999999994E-2</v>
      </c>
      <c r="N387" s="231">
        <f>(1+H387)*(Proj_Inputs!$B$20+J387)/Proj_Inputs!$B$20*((Proj_Inputs!$B$21+I387)*(1-Proj_Inputs!$B$24)*NPV_Pirelli!$B$47+NPV_Pirelli!$B$49)+(1+K387)*NPV_Pirelli!$B$48</f>
        <v>503.51602743638205</v>
      </c>
      <c r="O387" s="231">
        <f>(1+H387)*(Proj_Inputs!$C$20+L387)/Proj_Inputs!$C$20*((Proj_Inputs!$C$21+I387)*(1-Proj_Inputs!$C$24)*NPV_Hankook!$B$47+NPV_Hankook!$B$49)+(1+M387)*NPV_Hankook!$B$48</f>
        <v>-150.35526671878551</v>
      </c>
    </row>
    <row r="388" spans="1:15" x14ac:dyDescent="0.2">
      <c r="A388" s="228">
        <v>364</v>
      </c>
      <c r="B388" s="229">
        <v>0.236512</v>
      </c>
      <c r="C388" s="229">
        <v>0.14057600000000001</v>
      </c>
      <c r="D388" s="229">
        <v>0.932917</v>
      </c>
      <c r="E388" s="229">
        <v>0.26344699999999999</v>
      </c>
      <c r="F388" s="229">
        <v>0.15669</v>
      </c>
      <c r="G388" s="229">
        <v>0.58400099999999999</v>
      </c>
      <c r="H388" s="230">
        <f>Proj_Inputs!$B$44+(Proj_Inputs!$C$44-Proj_Inputs!$B$44)*B388</f>
        <v>-5.2697600000000004E-2</v>
      </c>
      <c r="I388" s="230">
        <f>Proj_Inputs!$B$45+(Proj_Inputs!$C$45-Proj_Inputs!$B$45)*C388</f>
        <v>-2.8753920000000002E-2</v>
      </c>
      <c r="J388" s="230">
        <f>Proj_Inputs!$B$46+(Proj_Inputs!$C$46-Proj_Inputs!$B$46)*D388</f>
        <v>3.6583400000000016E-2</v>
      </c>
      <c r="K388" s="230">
        <f>Proj_Inputs!$B$47+(Proj_Inputs!$C$47-Proj_Inputs!$B$47)*E388</f>
        <v>1.5861749999999994E-2</v>
      </c>
      <c r="L388" s="230">
        <f>Proj_Inputs!$B$46+(Proj_Inputs!$C$46-Proj_Inputs!$B$46)*F388</f>
        <v>-0.11866199999999999</v>
      </c>
      <c r="M388" s="230">
        <f>Proj_Inputs!$B$47+(Proj_Inputs!$C$47-Proj_Inputs!$B$47)*G388</f>
        <v>9.6000249999999995E-2</v>
      </c>
      <c r="N388" s="231">
        <f>(1+H388)*(Proj_Inputs!$B$20+J388)/Proj_Inputs!$B$20*((Proj_Inputs!$B$21+I388)*(1-Proj_Inputs!$B$24)*NPV_Pirelli!$B$47+NPV_Pirelli!$B$49)+(1+K388)*NPV_Pirelli!$B$48</f>
        <v>200.52395660402738</v>
      </c>
      <c r="O388" s="231">
        <f>(1+H388)*(Proj_Inputs!$C$20+L388)/Proj_Inputs!$C$20*((Proj_Inputs!$C$21+I388)*(1-Proj_Inputs!$C$24)*NPV_Hankook!$B$47+NPV_Hankook!$B$49)+(1+M388)*NPV_Hankook!$B$48</f>
        <v>-554.1396004485274</v>
      </c>
    </row>
    <row r="389" spans="1:15" x14ac:dyDescent="0.2">
      <c r="A389" s="228">
        <v>365</v>
      </c>
      <c r="B389" s="229">
        <v>0.33974799999999999</v>
      </c>
      <c r="C389" s="229">
        <v>0.18193400000000001</v>
      </c>
      <c r="D389" s="229">
        <v>0.54960299999999995</v>
      </c>
      <c r="E389" s="229">
        <v>0.12790399999999999</v>
      </c>
      <c r="F389" s="229">
        <v>0.33956999999999998</v>
      </c>
      <c r="G389" s="229">
        <v>0.65265600000000001</v>
      </c>
      <c r="H389" s="230">
        <f>Proj_Inputs!$B$44+(Proj_Inputs!$C$44-Proj_Inputs!$B$44)*B389</f>
        <v>-3.2050400000000007E-2</v>
      </c>
      <c r="I389" s="230">
        <f>Proj_Inputs!$B$45+(Proj_Inputs!$C$45-Proj_Inputs!$B$45)*C389</f>
        <v>-2.5445280000000001E-2</v>
      </c>
      <c r="J389" s="230">
        <f>Proj_Inputs!$B$46+(Proj_Inputs!$C$46-Proj_Inputs!$B$46)*D389</f>
        <v>-4.0079400000000001E-2</v>
      </c>
      <c r="K389" s="230">
        <f>Proj_Inputs!$B$47+(Proj_Inputs!$C$47-Proj_Inputs!$B$47)*E389</f>
        <v>-1.8024000000000005E-2</v>
      </c>
      <c r="L389" s="230">
        <f>Proj_Inputs!$B$46+(Proj_Inputs!$C$46-Proj_Inputs!$B$46)*F389</f>
        <v>-8.2085999999999992E-2</v>
      </c>
      <c r="M389" s="230">
        <f>Proj_Inputs!$B$47+(Proj_Inputs!$C$47-Proj_Inputs!$B$47)*G389</f>
        <v>0.113164</v>
      </c>
      <c r="N389" s="231">
        <f>(1+H389)*(Proj_Inputs!$B$20+J389)/Proj_Inputs!$B$20*((Proj_Inputs!$B$21+I389)*(1-Proj_Inputs!$B$24)*NPV_Pirelli!$B$47+NPV_Pirelli!$B$49)+(1+K389)*NPV_Pirelli!$B$48</f>
        <v>184.24017465520922</v>
      </c>
      <c r="O389" s="231">
        <f>(1+H389)*(Proj_Inputs!$C$20+L389)/Proj_Inputs!$C$20*((Proj_Inputs!$C$21+I389)*(1-Proj_Inputs!$C$24)*NPV_Hankook!$B$47+NPV_Hankook!$B$49)+(1+M389)*NPV_Hankook!$B$48</f>
        <v>-503.9690649584154</v>
      </c>
    </row>
    <row r="390" spans="1:15" x14ac:dyDescent="0.2">
      <c r="A390" s="228">
        <v>366</v>
      </c>
      <c r="B390" s="229">
        <v>0.217915</v>
      </c>
      <c r="C390" s="229">
        <v>4.6697000000000002E-2</v>
      </c>
      <c r="D390" s="229">
        <v>0.79540299999999997</v>
      </c>
      <c r="E390" s="229">
        <v>0.81442899999999996</v>
      </c>
      <c r="F390" s="229">
        <v>0.55310000000000004</v>
      </c>
      <c r="G390" s="229">
        <v>0.97259799999999996</v>
      </c>
      <c r="H390" s="230">
        <f>Proj_Inputs!$B$44+(Proj_Inputs!$C$44-Proj_Inputs!$B$44)*B390</f>
        <v>-5.6417000000000002E-2</v>
      </c>
      <c r="I390" s="230">
        <f>Proj_Inputs!$B$45+(Proj_Inputs!$C$45-Proj_Inputs!$B$45)*C390</f>
        <v>-3.6264240000000003E-2</v>
      </c>
      <c r="J390" s="230">
        <f>Proj_Inputs!$B$46+(Proj_Inputs!$C$46-Proj_Inputs!$B$46)*D390</f>
        <v>9.080600000000022E-3</v>
      </c>
      <c r="K390" s="230">
        <f>Proj_Inputs!$B$47+(Proj_Inputs!$C$47-Proj_Inputs!$B$47)*E390</f>
        <v>0.15360724999999997</v>
      </c>
      <c r="L390" s="230">
        <f>Proj_Inputs!$B$46+(Proj_Inputs!$C$46-Proj_Inputs!$B$46)*F390</f>
        <v>-3.9379999999999984E-2</v>
      </c>
      <c r="M390" s="230">
        <f>Proj_Inputs!$B$47+(Proj_Inputs!$C$47-Proj_Inputs!$B$47)*G390</f>
        <v>0.19314949999999997</v>
      </c>
      <c r="N390" s="231">
        <f>(1+H390)*(Proj_Inputs!$B$20+J390)/Proj_Inputs!$B$20*((Proj_Inputs!$B$21+I390)*(1-Proj_Inputs!$B$24)*NPV_Pirelli!$B$47+NPV_Pirelli!$B$49)+(1+K390)*NPV_Pirelli!$B$48</f>
        <v>14.42935183506404</v>
      </c>
      <c r="O390" s="231">
        <f>(1+H390)*(Proj_Inputs!$C$20+L390)/Proj_Inputs!$C$20*((Proj_Inputs!$C$21+I390)*(1-Proj_Inputs!$C$24)*NPV_Hankook!$B$47+NPV_Hankook!$B$49)+(1+M390)*NPV_Hankook!$B$48</f>
        <v>-643.568390958995</v>
      </c>
    </row>
    <row r="391" spans="1:15" x14ac:dyDescent="0.2">
      <c r="A391" s="228">
        <v>367</v>
      </c>
      <c r="B391" s="229">
        <v>0.65581500000000004</v>
      </c>
      <c r="C391" s="229">
        <v>0.87219199999999997</v>
      </c>
      <c r="D391" s="229">
        <v>0.471163</v>
      </c>
      <c r="E391" s="229">
        <v>0.97870900000000005</v>
      </c>
      <c r="F391" s="229">
        <v>0.256409</v>
      </c>
      <c r="G391" s="229">
        <v>0.88465800000000006</v>
      </c>
      <c r="H391" s="230">
        <f>Proj_Inputs!$B$44+(Proj_Inputs!$C$44-Proj_Inputs!$B$44)*B391</f>
        <v>3.1162999999999996E-2</v>
      </c>
      <c r="I391" s="230">
        <f>Proj_Inputs!$B$45+(Proj_Inputs!$C$45-Proj_Inputs!$B$45)*C391</f>
        <v>2.9775359999999994E-2</v>
      </c>
      <c r="J391" s="230">
        <f>Proj_Inputs!$B$46+(Proj_Inputs!$C$46-Proj_Inputs!$B$46)*D391</f>
        <v>-5.5767399999999995E-2</v>
      </c>
      <c r="K391" s="230">
        <f>Proj_Inputs!$B$47+(Proj_Inputs!$C$47-Proj_Inputs!$B$47)*E391</f>
        <v>0.19467725000000002</v>
      </c>
      <c r="L391" s="230">
        <f>Proj_Inputs!$B$46+(Proj_Inputs!$C$46-Proj_Inputs!$B$46)*F391</f>
        <v>-9.8718199999999992E-2</v>
      </c>
      <c r="M391" s="230">
        <f>Proj_Inputs!$B$47+(Proj_Inputs!$C$47-Proj_Inputs!$B$47)*G391</f>
        <v>0.1711645</v>
      </c>
      <c r="N391" s="231">
        <f>(1+H391)*(Proj_Inputs!$B$20+J391)/Proj_Inputs!$B$20*((Proj_Inputs!$B$21+I391)*(1-Proj_Inputs!$B$24)*NPV_Pirelli!$B$47+NPV_Pirelli!$B$49)+(1+K391)*NPV_Pirelli!$B$48</f>
        <v>390.94327239754068</v>
      </c>
      <c r="O391" s="231">
        <f>(1+H391)*(Proj_Inputs!$C$20+L391)/Proj_Inputs!$C$20*((Proj_Inputs!$C$21+I391)*(1-Proj_Inputs!$C$24)*NPV_Hankook!$B$47+NPV_Hankook!$B$49)+(1+M391)*NPV_Hankook!$B$48</f>
        <v>-189.49325484394831</v>
      </c>
    </row>
    <row r="392" spans="1:15" x14ac:dyDescent="0.2">
      <c r="A392" s="228">
        <v>368</v>
      </c>
      <c r="B392" s="229">
        <v>0.93232400000000004</v>
      </c>
      <c r="C392" s="229">
        <v>0.91833600000000004</v>
      </c>
      <c r="D392" s="229">
        <v>0.22836699999999999</v>
      </c>
      <c r="E392" s="229">
        <v>0.41367700000000002</v>
      </c>
      <c r="F392" s="229">
        <v>0.74223700000000004</v>
      </c>
      <c r="G392" s="229">
        <v>0.68100400000000005</v>
      </c>
      <c r="H392" s="230">
        <f>Proj_Inputs!$B$44+(Proj_Inputs!$C$44-Proj_Inputs!$B$44)*B392</f>
        <v>8.6464800000000008E-2</v>
      </c>
      <c r="I392" s="230">
        <f>Proj_Inputs!$B$45+(Proj_Inputs!$C$45-Proj_Inputs!$B$45)*C392</f>
        <v>3.3466879999999997E-2</v>
      </c>
      <c r="J392" s="230">
        <f>Proj_Inputs!$B$46+(Proj_Inputs!$C$46-Proj_Inputs!$B$46)*D392</f>
        <v>-0.10432659999999999</v>
      </c>
      <c r="K392" s="230">
        <f>Proj_Inputs!$B$47+(Proj_Inputs!$C$47-Proj_Inputs!$B$47)*E392</f>
        <v>5.3419250000000001E-2</v>
      </c>
      <c r="L392" s="230">
        <f>Proj_Inputs!$B$46+(Proj_Inputs!$C$46-Proj_Inputs!$B$46)*F392</f>
        <v>-1.5525999999999873E-3</v>
      </c>
      <c r="M392" s="230">
        <f>Proj_Inputs!$B$47+(Proj_Inputs!$C$47-Proj_Inputs!$B$47)*G392</f>
        <v>0.12025100000000001</v>
      </c>
      <c r="N392" s="231">
        <f>(1+H392)*(Proj_Inputs!$B$20+J392)/Proj_Inputs!$B$20*((Proj_Inputs!$B$21+I392)*(1-Proj_Inputs!$B$24)*NPV_Pirelli!$B$47+NPV_Pirelli!$B$49)+(1+K392)*NPV_Pirelli!$B$48</f>
        <v>514.94539060107627</v>
      </c>
      <c r="O392" s="231">
        <f>(1+H392)*(Proj_Inputs!$C$20+L392)/Proj_Inputs!$C$20*((Proj_Inputs!$C$21+I392)*(1-Proj_Inputs!$C$24)*NPV_Hankook!$B$47+NPV_Hankook!$B$49)+(1+M392)*NPV_Hankook!$B$48</f>
        <v>109.93910495208434</v>
      </c>
    </row>
    <row r="393" spans="1:15" x14ac:dyDescent="0.2">
      <c r="A393" s="228">
        <v>369</v>
      </c>
      <c r="B393" s="229">
        <v>0.81923299999999999</v>
      </c>
      <c r="C393" s="229">
        <v>0.73554299999999995</v>
      </c>
      <c r="D393" s="229">
        <v>1.7846999999999998E-2</v>
      </c>
      <c r="E393" s="229">
        <v>0.63088699999999998</v>
      </c>
      <c r="F393" s="229">
        <v>0.84022300000000005</v>
      </c>
      <c r="G393" s="229">
        <v>4.6647000000000001E-2</v>
      </c>
      <c r="H393" s="230">
        <f>Proj_Inputs!$B$44+(Proj_Inputs!$C$44-Proj_Inputs!$B$44)*B393</f>
        <v>6.3846600000000003E-2</v>
      </c>
      <c r="I393" s="230">
        <f>Proj_Inputs!$B$45+(Proj_Inputs!$C$45-Proj_Inputs!$B$45)*C393</f>
        <v>1.8843439999999996E-2</v>
      </c>
      <c r="J393" s="230">
        <f>Proj_Inputs!$B$46+(Proj_Inputs!$C$46-Proj_Inputs!$B$46)*D393</f>
        <v>-0.14643059999999999</v>
      </c>
      <c r="K393" s="230">
        <f>Proj_Inputs!$B$47+(Proj_Inputs!$C$47-Proj_Inputs!$B$47)*E393</f>
        <v>0.10772174999999999</v>
      </c>
      <c r="L393" s="230">
        <f>Proj_Inputs!$B$46+(Proj_Inputs!$C$46-Proj_Inputs!$B$46)*F393</f>
        <v>1.8044600000000022E-2</v>
      </c>
      <c r="M393" s="230">
        <f>Proj_Inputs!$B$47+(Proj_Inputs!$C$47-Proj_Inputs!$B$47)*G393</f>
        <v>-3.8338250000000004E-2</v>
      </c>
      <c r="N393" s="231">
        <f>(1+H393)*(Proj_Inputs!$B$20+J393)/Proj_Inputs!$B$20*((Proj_Inputs!$B$21+I393)*(1-Proj_Inputs!$B$24)*NPV_Pirelli!$B$47+NPV_Pirelli!$B$49)+(1+K393)*NPV_Pirelli!$B$48</f>
        <v>293.83462420844546</v>
      </c>
      <c r="O393" s="231">
        <f>(1+H393)*(Proj_Inputs!$C$20+L393)/Proj_Inputs!$C$20*((Proj_Inputs!$C$21+I393)*(1-Proj_Inputs!$C$24)*NPV_Hankook!$B$47+NPV_Hankook!$B$49)+(1+M393)*NPV_Hankook!$B$48</f>
        <v>186.43714838792584</v>
      </c>
    </row>
    <row r="394" spans="1:15" x14ac:dyDescent="0.2">
      <c r="A394" s="228">
        <v>370</v>
      </c>
      <c r="B394" s="229">
        <v>0.63197099999999995</v>
      </c>
      <c r="C394" s="229">
        <v>0.51977899999999999</v>
      </c>
      <c r="D394" s="229">
        <v>0.97368600000000005</v>
      </c>
      <c r="E394" s="229">
        <v>0.81476999999999999</v>
      </c>
      <c r="F394" s="229">
        <v>0.182369</v>
      </c>
      <c r="G394" s="229">
        <v>0.50628600000000001</v>
      </c>
      <c r="H394" s="230">
        <f>Proj_Inputs!$B$44+(Proj_Inputs!$C$44-Proj_Inputs!$B$44)*B394</f>
        <v>2.6394199999999979E-2</v>
      </c>
      <c r="I394" s="230">
        <f>Proj_Inputs!$B$45+(Proj_Inputs!$C$45-Proj_Inputs!$B$45)*C394</f>
        <v>1.5823199999999982E-3</v>
      </c>
      <c r="J394" s="230">
        <f>Proj_Inputs!$B$46+(Proj_Inputs!$C$46-Proj_Inputs!$B$46)*D394</f>
        <v>4.4737200000000032E-2</v>
      </c>
      <c r="K394" s="230">
        <f>Proj_Inputs!$B$47+(Proj_Inputs!$C$47-Proj_Inputs!$B$47)*E394</f>
        <v>0.15369250000000001</v>
      </c>
      <c r="L394" s="230">
        <f>Proj_Inputs!$B$46+(Proj_Inputs!$C$46-Proj_Inputs!$B$46)*F394</f>
        <v>-0.11352619999999999</v>
      </c>
      <c r="M394" s="230">
        <f>Proj_Inputs!$B$47+(Proj_Inputs!$C$47-Proj_Inputs!$B$47)*G394</f>
        <v>7.6571500000000001E-2</v>
      </c>
      <c r="N394" s="231">
        <f>(1+H394)*(Proj_Inputs!$B$20+J394)/Proj_Inputs!$B$20*((Proj_Inputs!$B$21+I394)*(1-Proj_Inputs!$B$24)*NPV_Pirelli!$B$47+NPV_Pirelli!$B$49)+(1+K394)*NPV_Pirelli!$B$48</f>
        <v>387.11104547220373</v>
      </c>
      <c r="O394" s="231">
        <f>(1+H394)*(Proj_Inputs!$C$20+L394)/Proj_Inputs!$C$20*((Proj_Inputs!$C$21+I394)*(1-Proj_Inputs!$C$24)*NPV_Hankook!$B$47+NPV_Hankook!$B$49)+(1+M394)*NPV_Hankook!$B$48</f>
        <v>-279.74942288164584</v>
      </c>
    </row>
    <row r="395" spans="1:15" x14ac:dyDescent="0.2">
      <c r="A395" s="228">
        <v>371</v>
      </c>
      <c r="B395" s="229">
        <v>0.38367699999999999</v>
      </c>
      <c r="C395" s="229">
        <v>0.47376200000000002</v>
      </c>
      <c r="D395" s="229">
        <v>0.336148</v>
      </c>
      <c r="E395" s="229">
        <v>0.74168199999999995</v>
      </c>
      <c r="F395" s="229">
        <v>0.20453299999999999</v>
      </c>
      <c r="G395" s="229">
        <v>0.97496700000000003</v>
      </c>
      <c r="H395" s="230">
        <f>Proj_Inputs!$B$44+(Proj_Inputs!$C$44-Proj_Inputs!$B$44)*B395</f>
        <v>-2.3264599999999996E-2</v>
      </c>
      <c r="I395" s="230">
        <f>Proj_Inputs!$B$45+(Proj_Inputs!$C$45-Proj_Inputs!$B$45)*C395</f>
        <v>-2.0990399999999965E-3</v>
      </c>
      <c r="J395" s="230">
        <f>Proj_Inputs!$B$46+(Proj_Inputs!$C$46-Proj_Inputs!$B$46)*D395</f>
        <v>-8.2770399999999994E-2</v>
      </c>
      <c r="K395" s="230">
        <f>Proj_Inputs!$B$47+(Proj_Inputs!$C$47-Proj_Inputs!$B$47)*E395</f>
        <v>0.1354205</v>
      </c>
      <c r="L395" s="230">
        <f>Proj_Inputs!$B$46+(Proj_Inputs!$C$46-Proj_Inputs!$B$46)*F395</f>
        <v>-0.10909339999999999</v>
      </c>
      <c r="M395" s="230">
        <f>Proj_Inputs!$B$47+(Proj_Inputs!$C$47-Proj_Inputs!$B$47)*G395</f>
        <v>0.19374174999999999</v>
      </c>
      <c r="N395" s="231">
        <f>(1+H395)*(Proj_Inputs!$B$20+J395)/Proj_Inputs!$B$20*((Proj_Inputs!$B$21+I395)*(1-Proj_Inputs!$B$24)*NPV_Pirelli!$B$47+NPV_Pirelli!$B$49)+(1+K395)*NPV_Pirelli!$B$48</f>
        <v>152.05126054251127</v>
      </c>
      <c r="O395" s="231">
        <f>(1+H395)*(Proj_Inputs!$C$20+L395)/Proj_Inputs!$C$20*((Proj_Inputs!$C$21+I395)*(1-Proj_Inputs!$C$24)*NPV_Hankook!$B$47+NPV_Hankook!$B$49)+(1+M395)*NPV_Hankook!$B$48</f>
        <v>-479.5504527974515</v>
      </c>
    </row>
    <row r="396" spans="1:15" x14ac:dyDescent="0.2">
      <c r="A396" s="228">
        <v>372</v>
      </c>
      <c r="B396" s="229">
        <v>0.64217299999999999</v>
      </c>
      <c r="C396" s="229">
        <v>0.72228199999999998</v>
      </c>
      <c r="D396" s="229">
        <v>0.80767299999999997</v>
      </c>
      <c r="E396" s="229">
        <v>0.78814499999999998</v>
      </c>
      <c r="F396" s="229">
        <v>0.96250599999999997</v>
      </c>
      <c r="G396" s="229">
        <v>0.40093099999999998</v>
      </c>
      <c r="H396" s="230">
        <f>Proj_Inputs!$B$44+(Proj_Inputs!$C$44-Proj_Inputs!$B$44)*B396</f>
        <v>2.8434600000000004E-2</v>
      </c>
      <c r="I396" s="230">
        <f>Proj_Inputs!$B$45+(Proj_Inputs!$C$45-Proj_Inputs!$B$45)*C396</f>
        <v>1.7782559999999996E-2</v>
      </c>
      <c r="J396" s="230">
        <f>Proj_Inputs!$B$46+(Proj_Inputs!$C$46-Proj_Inputs!$B$46)*D396</f>
        <v>1.1534600000000006E-2</v>
      </c>
      <c r="K396" s="230">
        <f>Proj_Inputs!$B$47+(Proj_Inputs!$C$47-Proj_Inputs!$B$47)*E396</f>
        <v>0.14703624999999998</v>
      </c>
      <c r="L396" s="230">
        <f>Proj_Inputs!$B$46+(Proj_Inputs!$C$46-Proj_Inputs!$B$46)*F396</f>
        <v>4.2501200000000017E-2</v>
      </c>
      <c r="M396" s="230">
        <f>Proj_Inputs!$B$47+(Proj_Inputs!$C$47-Proj_Inputs!$B$47)*G396</f>
        <v>5.0232749999999993E-2</v>
      </c>
      <c r="N396" s="231">
        <f>(1+H396)*(Proj_Inputs!$B$20+J396)/Proj_Inputs!$B$20*((Proj_Inputs!$B$21+I396)*(1-Proj_Inputs!$B$24)*NPV_Pirelli!$B$47+NPV_Pirelli!$B$49)+(1+K396)*NPV_Pirelli!$B$48</f>
        <v>453.66412879511358</v>
      </c>
      <c r="O396" s="231">
        <f>(1+H396)*(Proj_Inputs!$C$20+L396)/Proj_Inputs!$C$20*((Proj_Inputs!$C$21+I396)*(1-Proj_Inputs!$C$24)*NPV_Hankook!$B$47+NPV_Hankook!$B$49)+(1+M396)*NPV_Hankook!$B$48</f>
        <v>65.739168115993152</v>
      </c>
    </row>
    <row r="397" spans="1:15" x14ac:dyDescent="0.2">
      <c r="A397" s="228">
        <v>373</v>
      </c>
      <c r="B397" s="229">
        <v>0.54554499999999995</v>
      </c>
      <c r="C397" s="229">
        <v>0.779505</v>
      </c>
      <c r="D397" s="229">
        <v>0.30465500000000001</v>
      </c>
      <c r="E397" s="229">
        <v>7.7760999999999997E-2</v>
      </c>
      <c r="F397" s="229">
        <v>0.72871799999999998</v>
      </c>
      <c r="G397" s="229">
        <v>8.8635000000000005E-2</v>
      </c>
      <c r="H397" s="230">
        <f>Proj_Inputs!$B$44+(Proj_Inputs!$C$44-Proj_Inputs!$B$44)*B397</f>
        <v>9.1089999999999921E-3</v>
      </c>
      <c r="I397" s="230">
        <f>Proj_Inputs!$B$45+(Proj_Inputs!$C$45-Proj_Inputs!$B$45)*C397</f>
        <v>2.2360400000000002E-2</v>
      </c>
      <c r="J397" s="230">
        <f>Proj_Inputs!$B$46+(Proj_Inputs!$C$46-Proj_Inputs!$B$46)*D397</f>
        <v>-8.9068999999999982E-2</v>
      </c>
      <c r="K397" s="230">
        <f>Proj_Inputs!$B$47+(Proj_Inputs!$C$47-Proj_Inputs!$B$47)*E397</f>
        <v>-3.0559750000000004E-2</v>
      </c>
      <c r="L397" s="230">
        <f>Proj_Inputs!$B$46+(Proj_Inputs!$C$46-Proj_Inputs!$B$46)*F397</f>
        <v>-4.2563999999999935E-3</v>
      </c>
      <c r="M397" s="230">
        <f>Proj_Inputs!$B$47+(Proj_Inputs!$C$47-Proj_Inputs!$B$47)*G397</f>
        <v>-2.7841250000000001E-2</v>
      </c>
      <c r="N397" s="231">
        <f>(1+H397)*(Proj_Inputs!$B$20+J397)/Proj_Inputs!$B$20*((Proj_Inputs!$B$21+I397)*(1-Proj_Inputs!$B$24)*NPV_Pirelli!$B$47+NPV_Pirelli!$B$49)+(1+K397)*NPV_Pirelli!$B$48</f>
        <v>446.84899465146395</v>
      </c>
      <c r="O397" s="231">
        <f>(1+H397)*(Proj_Inputs!$C$20+L397)/Proj_Inputs!$C$20*((Proj_Inputs!$C$21+I397)*(1-Proj_Inputs!$C$24)*NPV_Hankook!$B$47+NPV_Hankook!$B$49)+(1+M397)*NPV_Hankook!$B$48</f>
        <v>101.20664336351047</v>
      </c>
    </row>
    <row r="398" spans="1:15" x14ac:dyDescent="0.2">
      <c r="A398" s="228">
        <v>374</v>
      </c>
      <c r="B398" s="229">
        <v>3.5699999999999998E-3</v>
      </c>
      <c r="C398" s="229">
        <v>0.86669099999999999</v>
      </c>
      <c r="D398" s="229">
        <v>0.35830200000000001</v>
      </c>
      <c r="E398" s="229">
        <v>9.1761999999999996E-2</v>
      </c>
      <c r="F398" s="229">
        <v>0.96493899999999999</v>
      </c>
      <c r="G398" s="229">
        <v>0.98332799999999998</v>
      </c>
      <c r="H398" s="230">
        <f>Proj_Inputs!$B$44+(Proj_Inputs!$C$44-Proj_Inputs!$B$44)*B398</f>
        <v>-9.9285999999999999E-2</v>
      </c>
      <c r="I398" s="230">
        <f>Proj_Inputs!$B$45+(Proj_Inputs!$C$45-Proj_Inputs!$B$45)*C398</f>
        <v>2.9335279999999998E-2</v>
      </c>
      <c r="J398" s="230">
        <f>Proj_Inputs!$B$46+(Proj_Inputs!$C$46-Proj_Inputs!$B$46)*D398</f>
        <v>-7.8339599999999995E-2</v>
      </c>
      <c r="K398" s="230">
        <f>Proj_Inputs!$B$47+(Proj_Inputs!$C$47-Proj_Inputs!$B$47)*E398</f>
        <v>-2.7059500000000004E-2</v>
      </c>
      <c r="L398" s="230">
        <f>Proj_Inputs!$B$46+(Proj_Inputs!$C$46-Proj_Inputs!$B$46)*F398</f>
        <v>4.298780000000002E-2</v>
      </c>
      <c r="M398" s="230">
        <f>Proj_Inputs!$B$47+(Proj_Inputs!$C$47-Proj_Inputs!$B$47)*G398</f>
        <v>0.19583200000000001</v>
      </c>
      <c r="N398" s="231">
        <f>(1+H398)*(Proj_Inputs!$B$20+J398)/Proj_Inputs!$B$20*((Proj_Inputs!$B$21+I398)*(1-Proj_Inputs!$B$24)*NPV_Pirelli!$B$47+NPV_Pirelli!$B$49)+(1+K398)*NPV_Pirelli!$B$48</f>
        <v>363.78061941544308</v>
      </c>
      <c r="O398" s="231">
        <f>(1+H398)*(Proj_Inputs!$C$20+L398)/Proj_Inputs!$C$20*((Proj_Inputs!$C$21+I398)*(1-Proj_Inputs!$C$24)*NPV_Hankook!$B$47+NPV_Hankook!$B$49)+(1+M398)*NPV_Hankook!$B$48</f>
        <v>-188.22866371391456</v>
      </c>
    </row>
    <row r="399" spans="1:15" x14ac:dyDescent="0.2">
      <c r="A399" s="228">
        <v>375</v>
      </c>
      <c r="B399" s="229">
        <v>0.105298</v>
      </c>
      <c r="C399" s="229">
        <v>0.47937999999999997</v>
      </c>
      <c r="D399" s="229">
        <v>0.37241999999999997</v>
      </c>
      <c r="E399" s="229">
        <v>0.58442300000000003</v>
      </c>
      <c r="F399" s="229">
        <v>0.97353500000000004</v>
      </c>
      <c r="G399" s="229">
        <v>0.95311100000000004</v>
      </c>
      <c r="H399" s="230">
        <f>Proj_Inputs!$B$44+(Proj_Inputs!$C$44-Proj_Inputs!$B$44)*B399</f>
        <v>-7.8940400000000008E-2</v>
      </c>
      <c r="I399" s="230">
        <f>Proj_Inputs!$B$45+(Proj_Inputs!$C$45-Proj_Inputs!$B$45)*C399</f>
        <v>-1.6496000000000011E-3</v>
      </c>
      <c r="J399" s="230">
        <f>Proj_Inputs!$B$46+(Proj_Inputs!$C$46-Proj_Inputs!$B$46)*D399</f>
        <v>-7.5516E-2</v>
      </c>
      <c r="K399" s="230">
        <f>Proj_Inputs!$B$47+(Proj_Inputs!$C$47-Proj_Inputs!$B$47)*E399</f>
        <v>9.6105750000000004E-2</v>
      </c>
      <c r="L399" s="230">
        <f>Proj_Inputs!$B$46+(Proj_Inputs!$C$46-Proj_Inputs!$B$46)*F399</f>
        <v>4.4707000000000024E-2</v>
      </c>
      <c r="M399" s="230">
        <f>Proj_Inputs!$B$47+(Proj_Inputs!$C$47-Proj_Inputs!$B$47)*G399</f>
        <v>0.18827775000000002</v>
      </c>
      <c r="N399" s="231">
        <f>(1+H399)*(Proj_Inputs!$B$20+J399)/Proj_Inputs!$B$20*((Proj_Inputs!$B$21+I399)*(1-Proj_Inputs!$B$24)*NPV_Pirelli!$B$47+NPV_Pirelli!$B$49)+(1+K399)*NPV_Pirelli!$B$48</f>
        <v>134.46648264061673</v>
      </c>
      <c r="O399" s="231">
        <f>(1+H399)*(Proj_Inputs!$C$20+L399)/Proj_Inputs!$C$20*((Proj_Inputs!$C$21+I399)*(1-Proj_Inputs!$C$24)*NPV_Hankook!$B$47+NPV_Hankook!$B$49)+(1+M399)*NPV_Hankook!$B$48</f>
        <v>-355.32459375772396</v>
      </c>
    </row>
    <row r="400" spans="1:15" x14ac:dyDescent="0.2">
      <c r="A400" s="228">
        <v>376</v>
      </c>
      <c r="B400" s="229">
        <v>0.45588899999999999</v>
      </c>
      <c r="C400" s="229">
        <v>0.15575700000000001</v>
      </c>
      <c r="D400" s="229">
        <v>0.64681</v>
      </c>
      <c r="E400" s="229">
        <v>5.0684E-2</v>
      </c>
      <c r="F400" s="229">
        <v>0.215057</v>
      </c>
      <c r="G400" s="229">
        <v>0.704009</v>
      </c>
      <c r="H400" s="230">
        <f>Proj_Inputs!$B$44+(Proj_Inputs!$C$44-Proj_Inputs!$B$44)*B400</f>
        <v>-8.8222000000000023E-3</v>
      </c>
      <c r="I400" s="230">
        <f>Proj_Inputs!$B$45+(Proj_Inputs!$C$45-Proj_Inputs!$B$45)*C400</f>
        <v>-2.7539439999999998E-2</v>
      </c>
      <c r="J400" s="230">
        <f>Proj_Inputs!$B$46+(Proj_Inputs!$C$46-Proj_Inputs!$B$46)*D400</f>
        <v>-2.063799999999999E-2</v>
      </c>
      <c r="K400" s="230">
        <f>Proj_Inputs!$B$47+(Proj_Inputs!$C$47-Proj_Inputs!$B$47)*E400</f>
        <v>-3.7329000000000001E-2</v>
      </c>
      <c r="L400" s="230">
        <f>Proj_Inputs!$B$46+(Proj_Inputs!$C$46-Proj_Inputs!$B$46)*F400</f>
        <v>-0.10698859999999999</v>
      </c>
      <c r="M400" s="230">
        <f>Proj_Inputs!$B$47+(Proj_Inputs!$C$47-Proj_Inputs!$B$47)*G400</f>
        <v>0.12600224999999998</v>
      </c>
      <c r="N400" s="231">
        <f>(1+H400)*(Proj_Inputs!$B$20+J400)/Proj_Inputs!$B$20*((Proj_Inputs!$B$21+I400)*(1-Proj_Inputs!$B$24)*NPV_Pirelli!$B$47+NPV_Pirelli!$B$49)+(1+K400)*NPV_Pirelli!$B$48</f>
        <v>232.09904607978183</v>
      </c>
      <c r="O400" s="231">
        <f>(1+H400)*(Proj_Inputs!$C$20+L400)/Proj_Inputs!$C$20*((Proj_Inputs!$C$21+I400)*(1-Proj_Inputs!$C$24)*NPV_Hankook!$B$47+NPV_Hankook!$B$49)+(1+M400)*NPV_Hankook!$B$48</f>
        <v>-537.11699582060271</v>
      </c>
    </row>
    <row r="401" spans="1:15" x14ac:dyDescent="0.2">
      <c r="A401" s="228">
        <v>377</v>
      </c>
      <c r="B401" s="229">
        <v>0.91458399999999995</v>
      </c>
      <c r="C401" s="229">
        <v>0.192907</v>
      </c>
      <c r="D401" s="229">
        <v>0.71415499999999998</v>
      </c>
      <c r="E401" s="229">
        <v>0.23833299999999999</v>
      </c>
      <c r="F401" s="229">
        <v>0.66308999999999996</v>
      </c>
      <c r="G401" s="229">
        <v>0.98140400000000005</v>
      </c>
      <c r="H401" s="230">
        <f>Proj_Inputs!$B$44+(Proj_Inputs!$C$44-Proj_Inputs!$B$44)*B401</f>
        <v>8.2916799999999985E-2</v>
      </c>
      <c r="I401" s="230">
        <f>Proj_Inputs!$B$45+(Proj_Inputs!$C$45-Proj_Inputs!$B$45)*C401</f>
        <v>-2.4567440000000003E-2</v>
      </c>
      <c r="J401" s="230">
        <f>Proj_Inputs!$B$46+(Proj_Inputs!$C$46-Proj_Inputs!$B$46)*D401</f>
        <v>-7.1689999999999809E-3</v>
      </c>
      <c r="K401" s="230">
        <f>Proj_Inputs!$B$47+(Proj_Inputs!$C$47-Proj_Inputs!$B$47)*E401</f>
        <v>9.5832499999999946E-3</v>
      </c>
      <c r="L401" s="230">
        <f>Proj_Inputs!$B$46+(Proj_Inputs!$C$46-Proj_Inputs!$B$46)*F401</f>
        <v>-1.7382000000000009E-2</v>
      </c>
      <c r="M401" s="230">
        <f>Proj_Inputs!$B$47+(Proj_Inputs!$C$47-Proj_Inputs!$B$47)*G401</f>
        <v>0.195351</v>
      </c>
      <c r="N401" s="231">
        <f>(1+H401)*(Proj_Inputs!$B$20+J401)/Proj_Inputs!$B$20*((Proj_Inputs!$B$21+I401)*(1-Proj_Inputs!$B$24)*NPV_Pirelli!$B$47+NPV_Pirelli!$B$49)+(1+K401)*NPV_Pirelli!$B$48</f>
        <v>323.17553232470686</v>
      </c>
      <c r="O401" s="231">
        <f>(1+H401)*(Proj_Inputs!$C$20+L401)/Proj_Inputs!$C$20*((Proj_Inputs!$C$21+I401)*(1-Proj_Inputs!$C$24)*NPV_Hankook!$B$47+NPV_Hankook!$B$49)+(1+M401)*NPV_Hankook!$B$48</f>
        <v>-429.23506982906122</v>
      </c>
    </row>
    <row r="402" spans="1:15" x14ac:dyDescent="0.2">
      <c r="A402" s="228">
        <v>378</v>
      </c>
      <c r="B402" s="229">
        <v>0.31826900000000002</v>
      </c>
      <c r="C402" s="229">
        <v>0.31148799999999999</v>
      </c>
      <c r="D402" s="229">
        <v>0.72761699999999996</v>
      </c>
      <c r="E402" s="229">
        <v>0.120544</v>
      </c>
      <c r="F402" s="229">
        <v>0.55247100000000005</v>
      </c>
      <c r="G402" s="229">
        <v>0.94869899999999996</v>
      </c>
      <c r="H402" s="230">
        <f>Proj_Inputs!$B$44+(Proj_Inputs!$C$44-Proj_Inputs!$B$44)*B402</f>
        <v>-3.6346199999999995E-2</v>
      </c>
      <c r="I402" s="230">
        <f>Proj_Inputs!$B$45+(Proj_Inputs!$C$45-Proj_Inputs!$B$45)*C402</f>
        <v>-1.5080960000000001E-2</v>
      </c>
      <c r="J402" s="230">
        <f>Proj_Inputs!$B$46+(Proj_Inputs!$C$46-Proj_Inputs!$B$46)*D402</f>
        <v>-4.4765999999999972E-3</v>
      </c>
      <c r="K402" s="230">
        <f>Proj_Inputs!$B$47+(Proj_Inputs!$C$47-Proj_Inputs!$B$47)*E402</f>
        <v>-1.9864000000000003E-2</v>
      </c>
      <c r="L402" s="230">
        <f>Proj_Inputs!$B$46+(Proj_Inputs!$C$46-Proj_Inputs!$B$46)*F402</f>
        <v>-3.950579999999998E-2</v>
      </c>
      <c r="M402" s="230">
        <f>Proj_Inputs!$B$47+(Proj_Inputs!$C$47-Proj_Inputs!$B$47)*G402</f>
        <v>0.18717475</v>
      </c>
      <c r="N402" s="231">
        <f>(1+H402)*(Proj_Inputs!$B$20+J402)/Proj_Inputs!$B$20*((Proj_Inputs!$B$21+I402)*(1-Proj_Inputs!$B$24)*NPV_Pirelli!$B$47+NPV_Pirelli!$B$49)+(1+K402)*NPV_Pirelli!$B$48</f>
        <v>282.41843764734347</v>
      </c>
      <c r="O402" s="231">
        <f>(1+H402)*(Proj_Inputs!$C$20+L402)/Proj_Inputs!$C$20*((Proj_Inputs!$C$21+I402)*(1-Proj_Inputs!$C$24)*NPV_Hankook!$B$47+NPV_Hankook!$B$49)+(1+M402)*NPV_Hankook!$B$48</f>
        <v>-487.13890554102579</v>
      </c>
    </row>
    <row r="403" spans="1:15" x14ac:dyDescent="0.2">
      <c r="A403" s="228">
        <v>379</v>
      </c>
      <c r="B403" s="229">
        <v>0.32370700000000002</v>
      </c>
      <c r="C403" s="229">
        <v>0.33644600000000002</v>
      </c>
      <c r="D403" s="229">
        <v>0.91326099999999999</v>
      </c>
      <c r="E403" s="229">
        <v>0.71158399999999999</v>
      </c>
      <c r="F403" s="229">
        <v>6.8779999999999994E-2</v>
      </c>
      <c r="G403" s="229">
        <v>0.35808699999999999</v>
      </c>
      <c r="H403" s="230">
        <f>Proj_Inputs!$B$44+(Proj_Inputs!$C$44-Proj_Inputs!$B$44)*B403</f>
        <v>-3.5258600000000001E-2</v>
      </c>
      <c r="I403" s="230">
        <f>Proj_Inputs!$B$45+(Proj_Inputs!$C$45-Proj_Inputs!$B$45)*C403</f>
        <v>-1.308432E-2</v>
      </c>
      <c r="J403" s="230">
        <f>Proj_Inputs!$B$46+(Proj_Inputs!$C$46-Proj_Inputs!$B$46)*D403</f>
        <v>3.265220000000002E-2</v>
      </c>
      <c r="K403" s="230">
        <f>Proj_Inputs!$B$47+(Proj_Inputs!$C$47-Proj_Inputs!$B$47)*E403</f>
        <v>0.12789600000000001</v>
      </c>
      <c r="L403" s="230">
        <f>Proj_Inputs!$B$46+(Proj_Inputs!$C$46-Proj_Inputs!$B$46)*F403</f>
        <v>-0.136244</v>
      </c>
      <c r="M403" s="230">
        <f>Proj_Inputs!$B$47+(Proj_Inputs!$C$47-Proj_Inputs!$B$47)*G403</f>
        <v>3.9521749999999994E-2</v>
      </c>
      <c r="N403" s="231">
        <f>(1+H403)*(Proj_Inputs!$B$20+J403)/Proj_Inputs!$B$20*((Proj_Inputs!$B$21+I403)*(1-Proj_Inputs!$B$24)*NPV_Pirelli!$B$47+NPV_Pirelli!$B$49)+(1+K403)*NPV_Pirelli!$B$48</f>
        <v>223.26582773912037</v>
      </c>
      <c r="O403" s="231">
        <f>(1+H403)*(Proj_Inputs!$C$20+L403)/Proj_Inputs!$C$20*((Proj_Inputs!$C$21+I403)*(1-Proj_Inputs!$C$24)*NPV_Hankook!$B$47+NPV_Hankook!$B$49)+(1+M403)*NPV_Hankook!$B$48</f>
        <v>-403.77001299316964</v>
      </c>
    </row>
    <row r="404" spans="1:15" x14ac:dyDescent="0.2">
      <c r="A404" s="228">
        <v>380</v>
      </c>
      <c r="B404" s="229">
        <v>0.98735899999999999</v>
      </c>
      <c r="C404" s="229">
        <v>0.15597900000000001</v>
      </c>
      <c r="D404" s="229">
        <v>0.239816</v>
      </c>
      <c r="E404" s="229">
        <v>0.123457</v>
      </c>
      <c r="F404" s="229">
        <v>0.30224400000000001</v>
      </c>
      <c r="G404" s="229">
        <v>1.5125E-2</v>
      </c>
      <c r="H404" s="230">
        <f>Proj_Inputs!$B$44+(Proj_Inputs!$C$44-Proj_Inputs!$B$44)*B404</f>
        <v>9.7471799999999997E-2</v>
      </c>
      <c r="I404" s="230">
        <f>Proj_Inputs!$B$45+(Proj_Inputs!$C$45-Proj_Inputs!$B$45)*C404</f>
        <v>-2.752168E-2</v>
      </c>
      <c r="J404" s="230">
        <f>Proj_Inputs!$B$46+(Proj_Inputs!$C$46-Proj_Inputs!$B$46)*D404</f>
        <v>-0.10203679999999998</v>
      </c>
      <c r="K404" s="230">
        <f>Proj_Inputs!$B$47+(Proj_Inputs!$C$47-Proj_Inputs!$B$47)*E404</f>
        <v>-1.9135750000000003E-2</v>
      </c>
      <c r="L404" s="230">
        <f>Proj_Inputs!$B$46+(Proj_Inputs!$C$46-Proj_Inputs!$B$46)*F404</f>
        <v>-8.9551199999999997E-2</v>
      </c>
      <c r="M404" s="230">
        <f>Proj_Inputs!$B$47+(Proj_Inputs!$C$47-Proj_Inputs!$B$47)*G404</f>
        <v>-4.6218750000000003E-2</v>
      </c>
      <c r="N404" s="231">
        <f>(1+H404)*(Proj_Inputs!$B$20+J404)/Proj_Inputs!$B$20*((Proj_Inputs!$B$21+I404)*(1-Proj_Inputs!$B$24)*NPV_Pirelli!$B$47+NPV_Pirelli!$B$49)+(1+K404)*NPV_Pirelli!$B$48</f>
        <v>222.5682768137284</v>
      </c>
      <c r="O404" s="231">
        <f>(1+H404)*(Proj_Inputs!$C$20+L404)/Proj_Inputs!$C$20*((Proj_Inputs!$C$21+I404)*(1-Proj_Inputs!$C$24)*NPV_Hankook!$B$47+NPV_Hankook!$B$49)+(1+M404)*NPV_Hankook!$B$48</f>
        <v>-234.96435582820095</v>
      </c>
    </row>
    <row r="405" spans="1:15" x14ac:dyDescent="0.2">
      <c r="A405" s="228">
        <v>381</v>
      </c>
      <c r="B405" s="229">
        <v>0.64222699999999999</v>
      </c>
      <c r="C405" s="229">
        <v>0.85052399999999995</v>
      </c>
      <c r="D405" s="229">
        <v>0.279638</v>
      </c>
      <c r="E405" s="229">
        <v>0.80077500000000001</v>
      </c>
      <c r="F405" s="229">
        <v>0.57299500000000003</v>
      </c>
      <c r="G405" s="229">
        <v>0.75329299999999999</v>
      </c>
      <c r="H405" s="230">
        <f>Proj_Inputs!$B$44+(Proj_Inputs!$C$44-Proj_Inputs!$B$44)*B405</f>
        <v>2.844540000000001E-2</v>
      </c>
      <c r="I405" s="230">
        <f>Proj_Inputs!$B$45+(Proj_Inputs!$C$45-Proj_Inputs!$B$45)*C405</f>
        <v>2.8041919999999991E-2</v>
      </c>
      <c r="J405" s="230">
        <f>Proj_Inputs!$B$46+(Proj_Inputs!$C$46-Proj_Inputs!$B$46)*D405</f>
        <v>-9.40724E-2</v>
      </c>
      <c r="K405" s="230">
        <f>Proj_Inputs!$B$47+(Proj_Inputs!$C$47-Proj_Inputs!$B$47)*E405</f>
        <v>0.15019375000000001</v>
      </c>
      <c r="L405" s="230">
        <f>Proj_Inputs!$B$46+(Proj_Inputs!$C$46-Proj_Inputs!$B$46)*F405</f>
        <v>-3.5400999999999988E-2</v>
      </c>
      <c r="M405" s="230">
        <f>Proj_Inputs!$B$47+(Proj_Inputs!$C$47-Proj_Inputs!$B$47)*G405</f>
        <v>0.13832325000000001</v>
      </c>
      <c r="N405" s="231">
        <f>(1+H405)*(Proj_Inputs!$B$20+J405)/Proj_Inputs!$B$20*((Proj_Inputs!$B$21+I405)*(1-Proj_Inputs!$B$24)*NPV_Pirelli!$B$47+NPV_Pirelli!$B$49)+(1+K405)*NPV_Pirelli!$B$48</f>
        <v>352.31203146827625</v>
      </c>
      <c r="O405" s="231">
        <f>(1+H405)*(Proj_Inputs!$C$20+L405)/Proj_Inputs!$C$20*((Proj_Inputs!$C$21+I405)*(1-Proj_Inputs!$C$24)*NPV_Hankook!$B$47+NPV_Hankook!$B$49)+(1+M405)*NPV_Hankook!$B$48</f>
        <v>-73.676344204757243</v>
      </c>
    </row>
    <row r="406" spans="1:15" x14ac:dyDescent="0.2">
      <c r="A406" s="228">
        <v>382</v>
      </c>
      <c r="B406" s="229">
        <v>0.61613499999999999</v>
      </c>
      <c r="C406" s="229">
        <v>0.58831</v>
      </c>
      <c r="D406" s="229">
        <v>0.40228599999999998</v>
      </c>
      <c r="E406" s="229">
        <v>0.33650000000000002</v>
      </c>
      <c r="F406" s="229">
        <v>0.61433099999999996</v>
      </c>
      <c r="G406" s="229">
        <v>0.834623</v>
      </c>
      <c r="H406" s="230">
        <f>Proj_Inputs!$B$44+(Proj_Inputs!$C$44-Proj_Inputs!$B$44)*B406</f>
        <v>2.3226999999999998E-2</v>
      </c>
      <c r="I406" s="230">
        <f>Proj_Inputs!$B$45+(Proj_Inputs!$C$45-Proj_Inputs!$B$45)*C406</f>
        <v>7.064800000000003E-3</v>
      </c>
      <c r="J406" s="230">
        <f>Proj_Inputs!$B$46+(Proj_Inputs!$C$46-Proj_Inputs!$B$46)*D406</f>
        <v>-6.9542799999999988E-2</v>
      </c>
      <c r="K406" s="230">
        <f>Proj_Inputs!$B$47+(Proj_Inputs!$C$47-Proj_Inputs!$B$47)*E406</f>
        <v>3.4125000000000003E-2</v>
      </c>
      <c r="L406" s="230">
        <f>Proj_Inputs!$B$46+(Proj_Inputs!$C$46-Proj_Inputs!$B$46)*F406</f>
        <v>-2.71338E-2</v>
      </c>
      <c r="M406" s="230">
        <f>Proj_Inputs!$B$47+(Proj_Inputs!$C$47-Proj_Inputs!$B$47)*G406</f>
        <v>0.15865574999999998</v>
      </c>
      <c r="N406" s="231">
        <f>(1+H406)*(Proj_Inputs!$B$20+J406)/Proj_Inputs!$B$20*((Proj_Inputs!$B$21+I406)*(1-Proj_Inputs!$B$24)*NPV_Pirelli!$B$47+NPV_Pirelli!$B$49)+(1+K406)*NPV_Pirelli!$B$48</f>
        <v>353.03088297589534</v>
      </c>
      <c r="O406" s="231">
        <f>(1+H406)*(Proj_Inputs!$C$20+L406)/Proj_Inputs!$C$20*((Proj_Inputs!$C$21+I406)*(1-Proj_Inputs!$C$24)*NPV_Hankook!$B$47+NPV_Hankook!$B$49)+(1+M406)*NPV_Hankook!$B$48</f>
        <v>-234.44191318302455</v>
      </c>
    </row>
    <row r="407" spans="1:15" x14ac:dyDescent="0.2">
      <c r="A407" s="228">
        <v>383</v>
      </c>
      <c r="B407" s="229">
        <v>0.896208</v>
      </c>
      <c r="C407" s="229">
        <v>0.878023</v>
      </c>
      <c r="D407" s="229">
        <v>0.72121500000000005</v>
      </c>
      <c r="E407" s="229">
        <v>0.63385400000000003</v>
      </c>
      <c r="F407" s="229">
        <v>0.86239200000000005</v>
      </c>
      <c r="G407" s="229">
        <v>0.64809799999999995</v>
      </c>
      <c r="H407" s="230">
        <f>Proj_Inputs!$B$44+(Proj_Inputs!$C$44-Proj_Inputs!$B$44)*B407</f>
        <v>7.9241599999999995E-2</v>
      </c>
      <c r="I407" s="230">
        <f>Proj_Inputs!$B$45+(Proj_Inputs!$C$45-Proj_Inputs!$B$45)*C407</f>
        <v>3.0241839999999999E-2</v>
      </c>
      <c r="J407" s="230">
        <f>Proj_Inputs!$B$46+(Proj_Inputs!$C$46-Proj_Inputs!$B$46)*D407</f>
        <v>-5.7569999999999844E-3</v>
      </c>
      <c r="K407" s="230">
        <f>Proj_Inputs!$B$47+(Proj_Inputs!$C$47-Proj_Inputs!$B$47)*E407</f>
        <v>0.1084635</v>
      </c>
      <c r="L407" s="230">
        <f>Proj_Inputs!$B$46+(Proj_Inputs!$C$46-Proj_Inputs!$B$46)*F407</f>
        <v>2.2478400000000037E-2</v>
      </c>
      <c r="M407" s="230">
        <f>Proj_Inputs!$B$47+(Proj_Inputs!$C$47-Proj_Inputs!$B$47)*G407</f>
        <v>0.11202449999999999</v>
      </c>
      <c r="N407" s="231">
        <f>(1+H407)*(Proj_Inputs!$B$20+J407)/Proj_Inputs!$B$20*((Proj_Inputs!$B$21+I407)*(1-Proj_Inputs!$B$24)*NPV_Pirelli!$B$47+NPV_Pirelli!$B$49)+(1+K407)*NPV_Pirelli!$B$48</f>
        <v>606.77633061430777</v>
      </c>
      <c r="O407" s="231">
        <f>(1+H407)*(Proj_Inputs!$C$20+L407)/Proj_Inputs!$C$20*((Proj_Inputs!$C$21+I407)*(1-Proj_Inputs!$C$24)*NPV_Hankook!$B$47+NPV_Hankook!$B$49)+(1+M407)*NPV_Hankook!$B$48</f>
        <v>123.21132124932706</v>
      </c>
    </row>
    <row r="408" spans="1:15" x14ac:dyDescent="0.2">
      <c r="A408" s="228">
        <v>384</v>
      </c>
      <c r="B408" s="229">
        <v>0.94616599999999995</v>
      </c>
      <c r="C408" s="229">
        <v>0.12964800000000001</v>
      </c>
      <c r="D408" s="229">
        <v>0.89294499999999999</v>
      </c>
      <c r="E408" s="229">
        <v>0.21130099999999999</v>
      </c>
      <c r="F408" s="229">
        <v>0.81107799999999997</v>
      </c>
      <c r="G408" s="229">
        <v>0.825627</v>
      </c>
      <c r="H408" s="230">
        <f>Proj_Inputs!$B$44+(Proj_Inputs!$C$44-Proj_Inputs!$B$44)*B408</f>
        <v>8.9233199999999985E-2</v>
      </c>
      <c r="I408" s="230">
        <f>Proj_Inputs!$B$45+(Proj_Inputs!$C$45-Proj_Inputs!$B$45)*C408</f>
        <v>-2.9628160000000001E-2</v>
      </c>
      <c r="J408" s="230">
        <f>Proj_Inputs!$B$46+(Proj_Inputs!$C$46-Proj_Inputs!$B$46)*D408</f>
        <v>2.8589000000000003E-2</v>
      </c>
      <c r="K408" s="230">
        <f>Proj_Inputs!$B$47+(Proj_Inputs!$C$47-Proj_Inputs!$B$47)*E408</f>
        <v>2.8252499999999944E-3</v>
      </c>
      <c r="L408" s="230">
        <f>Proj_Inputs!$B$46+(Proj_Inputs!$C$46-Proj_Inputs!$B$46)*F408</f>
        <v>1.2215600000000021E-2</v>
      </c>
      <c r="M408" s="230">
        <f>Proj_Inputs!$B$47+(Proj_Inputs!$C$47-Proj_Inputs!$B$47)*G408</f>
        <v>0.15640674999999998</v>
      </c>
      <c r="N408" s="231">
        <f>(1+H408)*(Proj_Inputs!$B$20+J408)/Proj_Inputs!$B$20*((Proj_Inputs!$B$21+I408)*(1-Proj_Inputs!$B$24)*NPV_Pirelli!$B$47+NPV_Pirelli!$B$49)+(1+K408)*NPV_Pirelli!$B$48</f>
        <v>344.92789656706339</v>
      </c>
      <c r="O408" s="231">
        <f>(1+H408)*(Proj_Inputs!$C$20+L408)/Proj_Inputs!$C$20*((Proj_Inputs!$C$21+I408)*(1-Proj_Inputs!$C$24)*NPV_Hankook!$B$47+NPV_Hankook!$B$49)+(1+M408)*NPV_Hankook!$B$48</f>
        <v>-384.18829981756801</v>
      </c>
    </row>
    <row r="409" spans="1:15" x14ac:dyDescent="0.2">
      <c r="A409" s="228">
        <v>385</v>
      </c>
      <c r="B409" s="229">
        <v>0.38989800000000002</v>
      </c>
      <c r="C409" s="229">
        <v>0.441689</v>
      </c>
      <c r="D409" s="229">
        <v>6.4774999999999999E-2</v>
      </c>
      <c r="E409" s="229">
        <v>0.66466099999999995</v>
      </c>
      <c r="F409" s="229">
        <v>0.96936100000000003</v>
      </c>
      <c r="G409" s="229">
        <v>0.15795799999999999</v>
      </c>
      <c r="H409" s="230">
        <f>Proj_Inputs!$B$44+(Proj_Inputs!$C$44-Proj_Inputs!$B$44)*B409</f>
        <v>-2.2020399999999996E-2</v>
      </c>
      <c r="I409" s="230">
        <f>Proj_Inputs!$B$45+(Proj_Inputs!$C$45-Proj_Inputs!$B$45)*C409</f>
        <v>-4.6648800000000032E-3</v>
      </c>
      <c r="J409" s="230">
        <f>Proj_Inputs!$B$46+(Proj_Inputs!$C$46-Proj_Inputs!$B$46)*D409</f>
        <v>-0.137045</v>
      </c>
      <c r="K409" s="230">
        <f>Proj_Inputs!$B$47+(Proj_Inputs!$C$47-Proj_Inputs!$B$47)*E409</f>
        <v>0.11616524999999998</v>
      </c>
      <c r="L409" s="230">
        <f>Proj_Inputs!$B$46+(Proj_Inputs!$C$46-Proj_Inputs!$B$46)*F409</f>
        <v>4.3872200000000028E-2</v>
      </c>
      <c r="M409" s="230">
        <f>Proj_Inputs!$B$47+(Proj_Inputs!$C$47-Proj_Inputs!$B$47)*G409</f>
        <v>-1.0510500000000006E-2</v>
      </c>
      <c r="N409" s="231">
        <f>(1+H409)*(Proj_Inputs!$B$20+J409)/Proj_Inputs!$B$20*((Proj_Inputs!$B$21+I409)*(1-Proj_Inputs!$B$24)*NPV_Pirelli!$B$47+NPV_Pirelli!$B$49)+(1+K409)*NPV_Pirelli!$B$48</f>
        <v>85.772104518054107</v>
      </c>
      <c r="O409" s="231">
        <f>(1+H409)*(Proj_Inputs!$C$20+L409)/Proj_Inputs!$C$20*((Proj_Inputs!$C$21+I409)*(1-Proj_Inputs!$C$24)*NPV_Hankook!$B$47+NPV_Hankook!$B$49)+(1+M409)*NPV_Hankook!$B$48</f>
        <v>-82.763348986756682</v>
      </c>
    </row>
    <row r="410" spans="1:15" x14ac:dyDescent="0.2">
      <c r="A410" s="228">
        <v>386</v>
      </c>
      <c r="B410" s="229">
        <v>0.95923599999999998</v>
      </c>
      <c r="C410" s="229">
        <v>0.79341300000000003</v>
      </c>
      <c r="D410" s="229">
        <v>0.90548300000000004</v>
      </c>
      <c r="E410" s="229">
        <v>0.41551500000000002</v>
      </c>
      <c r="F410" s="229">
        <v>7.4825000000000003E-2</v>
      </c>
      <c r="G410" s="229">
        <v>0.41561300000000001</v>
      </c>
      <c r="H410" s="230">
        <f>Proj_Inputs!$B$44+(Proj_Inputs!$C$44-Proj_Inputs!$B$44)*B410</f>
        <v>9.184719999999999E-2</v>
      </c>
      <c r="I410" s="230">
        <f>Proj_Inputs!$B$45+(Proj_Inputs!$C$45-Proj_Inputs!$B$45)*C410</f>
        <v>2.3473040000000008E-2</v>
      </c>
      <c r="J410" s="230">
        <f>Proj_Inputs!$B$46+(Proj_Inputs!$C$46-Proj_Inputs!$B$46)*D410</f>
        <v>3.109660000000003E-2</v>
      </c>
      <c r="K410" s="230">
        <f>Proj_Inputs!$B$47+(Proj_Inputs!$C$47-Proj_Inputs!$B$47)*E410</f>
        <v>5.3878750000000003E-2</v>
      </c>
      <c r="L410" s="230">
        <f>Proj_Inputs!$B$46+(Proj_Inputs!$C$46-Proj_Inputs!$B$46)*F410</f>
        <v>-0.13503499999999999</v>
      </c>
      <c r="M410" s="230">
        <f>Proj_Inputs!$B$47+(Proj_Inputs!$C$47-Proj_Inputs!$B$47)*G410</f>
        <v>5.390325E-2</v>
      </c>
      <c r="N410" s="231">
        <f>(1+H410)*(Proj_Inputs!$B$20+J410)/Proj_Inputs!$B$20*((Proj_Inputs!$B$21+I410)*(1-Proj_Inputs!$B$24)*NPV_Pirelli!$B$47+NPV_Pirelli!$B$49)+(1+K410)*NPV_Pirelli!$B$48</f>
        <v>681.53603344094199</v>
      </c>
      <c r="O410" s="231">
        <f>(1+H410)*(Proj_Inputs!$C$20+L410)/Proj_Inputs!$C$20*((Proj_Inputs!$C$21+I410)*(1-Proj_Inputs!$C$24)*NPV_Hankook!$B$47+NPV_Hankook!$B$49)+(1+M410)*NPV_Hankook!$B$48</f>
        <v>-80.427228762627919</v>
      </c>
    </row>
    <row r="411" spans="1:15" x14ac:dyDescent="0.2">
      <c r="A411" s="228">
        <v>387</v>
      </c>
      <c r="B411" s="229">
        <v>0.878853</v>
      </c>
      <c r="C411" s="229">
        <v>0.679925</v>
      </c>
      <c r="D411" s="229">
        <v>0.32710400000000001</v>
      </c>
      <c r="E411" s="229">
        <v>0.75751599999999997</v>
      </c>
      <c r="F411" s="229">
        <v>0.71671899999999999</v>
      </c>
      <c r="G411" s="229">
        <v>0.349852</v>
      </c>
      <c r="H411" s="230">
        <f>Proj_Inputs!$B$44+(Proj_Inputs!$C$44-Proj_Inputs!$B$44)*B411</f>
        <v>7.5770599999999994E-2</v>
      </c>
      <c r="I411" s="230">
        <f>Proj_Inputs!$B$45+(Proj_Inputs!$C$45-Proj_Inputs!$B$45)*C411</f>
        <v>1.4393999999999997E-2</v>
      </c>
      <c r="J411" s="230">
        <f>Proj_Inputs!$B$46+(Proj_Inputs!$C$46-Proj_Inputs!$B$46)*D411</f>
        <v>-8.4579199999999993E-2</v>
      </c>
      <c r="K411" s="230">
        <f>Proj_Inputs!$B$47+(Proj_Inputs!$C$47-Proj_Inputs!$B$47)*E411</f>
        <v>0.13937899999999998</v>
      </c>
      <c r="L411" s="230">
        <f>Proj_Inputs!$B$46+(Proj_Inputs!$C$46-Proj_Inputs!$B$46)*F411</f>
        <v>-6.656200000000001E-3</v>
      </c>
      <c r="M411" s="230">
        <f>Proj_Inputs!$B$47+(Proj_Inputs!$C$47-Proj_Inputs!$B$47)*G411</f>
        <v>3.7462999999999996E-2</v>
      </c>
      <c r="N411" s="231">
        <f>(1+H411)*(Proj_Inputs!$B$20+J411)/Proj_Inputs!$B$20*((Proj_Inputs!$B$21+I411)*(1-Proj_Inputs!$B$24)*NPV_Pirelli!$B$47+NPV_Pirelli!$B$49)+(1+K411)*NPV_Pirelli!$B$48</f>
        <v>351.99841305596567</v>
      </c>
      <c r="O411" s="231">
        <f>(1+H411)*(Proj_Inputs!$C$20+L411)/Proj_Inputs!$C$20*((Proj_Inputs!$C$21+I411)*(1-Proj_Inputs!$C$24)*NPV_Hankook!$B$47+NPV_Hankook!$B$49)+(1+M411)*NPV_Hankook!$B$48</f>
        <v>44.815253741179276</v>
      </c>
    </row>
    <row r="412" spans="1:15" x14ac:dyDescent="0.2">
      <c r="A412" s="228">
        <v>388</v>
      </c>
      <c r="B412" s="229">
        <v>0.13408999999999999</v>
      </c>
      <c r="C412" s="229">
        <v>0.21307799999999999</v>
      </c>
      <c r="D412" s="229">
        <v>0.25363000000000002</v>
      </c>
      <c r="E412" s="229">
        <v>9.0290000000000006E-3</v>
      </c>
      <c r="F412" s="229">
        <v>0.80185700000000004</v>
      </c>
      <c r="G412" s="229">
        <v>0.95852099999999996</v>
      </c>
      <c r="H412" s="230">
        <f>Proj_Inputs!$B$44+(Proj_Inputs!$C$44-Proj_Inputs!$B$44)*B412</f>
        <v>-7.3182000000000011E-2</v>
      </c>
      <c r="I412" s="230">
        <f>Proj_Inputs!$B$45+(Proj_Inputs!$C$45-Proj_Inputs!$B$45)*C412</f>
        <v>-2.295376E-2</v>
      </c>
      <c r="J412" s="230">
        <f>Proj_Inputs!$B$46+(Proj_Inputs!$C$46-Proj_Inputs!$B$46)*D412</f>
        <v>-9.9273999999999987E-2</v>
      </c>
      <c r="K412" s="230">
        <f>Proj_Inputs!$B$47+(Proj_Inputs!$C$47-Proj_Inputs!$B$47)*E412</f>
        <v>-4.774275E-2</v>
      </c>
      <c r="L412" s="230">
        <f>Proj_Inputs!$B$46+(Proj_Inputs!$C$46-Proj_Inputs!$B$46)*F412</f>
        <v>1.0371400000000031E-2</v>
      </c>
      <c r="M412" s="230">
        <f>Proj_Inputs!$B$47+(Proj_Inputs!$C$47-Proj_Inputs!$B$47)*G412</f>
        <v>0.18963025</v>
      </c>
      <c r="N412" s="231">
        <f>(1+H412)*(Proj_Inputs!$B$20+J412)/Proj_Inputs!$B$20*((Proj_Inputs!$B$21+I412)*(1-Proj_Inputs!$B$24)*NPV_Pirelli!$B$47+NPV_Pirelli!$B$49)+(1+K412)*NPV_Pirelli!$B$48</f>
        <v>116.48443851803461</v>
      </c>
      <c r="O412" s="231">
        <f>(1+H412)*(Proj_Inputs!$C$20+L412)/Proj_Inputs!$C$20*((Proj_Inputs!$C$21+I412)*(1-Proj_Inputs!$C$24)*NPV_Hankook!$B$47+NPV_Hankook!$B$49)+(1+M412)*NPV_Hankook!$B$48</f>
        <v>-524.91324212629729</v>
      </c>
    </row>
    <row r="413" spans="1:15" x14ac:dyDescent="0.2">
      <c r="A413" s="228">
        <v>389</v>
      </c>
      <c r="B413" s="229">
        <v>0.47698800000000002</v>
      </c>
      <c r="C413" s="229">
        <v>2.7219E-2</v>
      </c>
      <c r="D413" s="229">
        <v>0.54801</v>
      </c>
      <c r="E413" s="229">
        <v>0.49067699999999997</v>
      </c>
      <c r="F413" s="229">
        <v>0.195492</v>
      </c>
      <c r="G413" s="229">
        <v>0.579314</v>
      </c>
      <c r="H413" s="230">
        <f>Proj_Inputs!$B$44+(Proj_Inputs!$C$44-Proj_Inputs!$B$44)*B413</f>
        <v>-4.6023999999999926E-3</v>
      </c>
      <c r="I413" s="230">
        <f>Proj_Inputs!$B$45+(Proj_Inputs!$C$45-Proj_Inputs!$B$45)*C413</f>
        <v>-3.7822479999999999E-2</v>
      </c>
      <c r="J413" s="230">
        <f>Proj_Inputs!$B$46+(Proj_Inputs!$C$46-Proj_Inputs!$B$46)*D413</f>
        <v>-4.0397999999999989E-2</v>
      </c>
      <c r="K413" s="230">
        <f>Proj_Inputs!$B$47+(Proj_Inputs!$C$47-Proj_Inputs!$B$47)*E413</f>
        <v>7.2669249999999991E-2</v>
      </c>
      <c r="L413" s="230">
        <f>Proj_Inputs!$B$46+(Proj_Inputs!$C$46-Proj_Inputs!$B$46)*F413</f>
        <v>-0.11090159999999999</v>
      </c>
      <c r="M413" s="230">
        <f>Proj_Inputs!$B$47+(Proj_Inputs!$C$47-Proj_Inputs!$B$47)*G413</f>
        <v>9.4828499999999996E-2</v>
      </c>
      <c r="N413" s="231">
        <f>(1+H413)*(Proj_Inputs!$B$20+J413)/Proj_Inputs!$B$20*((Proj_Inputs!$B$21+I413)*(1-Proj_Inputs!$B$24)*NPV_Pirelli!$B$47+NPV_Pirelli!$B$49)+(1+K413)*NPV_Pirelli!$B$48</f>
        <v>66.759587796874825</v>
      </c>
      <c r="O413" s="231">
        <f>(1+H413)*(Proj_Inputs!$C$20+L413)/Proj_Inputs!$C$20*((Proj_Inputs!$C$21+I413)*(1-Proj_Inputs!$C$24)*NPV_Hankook!$B$47+NPV_Hankook!$B$49)+(1+M413)*NPV_Hankook!$B$48</f>
        <v>-562.89507896545365</v>
      </c>
    </row>
    <row r="414" spans="1:15" x14ac:dyDescent="0.2">
      <c r="A414" s="228">
        <v>390</v>
      </c>
      <c r="B414" s="229">
        <v>0.83916400000000002</v>
      </c>
      <c r="C414" s="229">
        <v>0.48659799999999997</v>
      </c>
      <c r="D414" s="229">
        <v>0.10552</v>
      </c>
      <c r="E414" s="229">
        <v>0.33019799999999999</v>
      </c>
      <c r="F414" s="229">
        <v>6.4713999999999994E-2</v>
      </c>
      <c r="G414" s="229">
        <v>0.81140800000000002</v>
      </c>
      <c r="H414" s="230">
        <f>Proj_Inputs!$B$44+(Proj_Inputs!$C$44-Proj_Inputs!$B$44)*B414</f>
        <v>6.7832799999999999E-2</v>
      </c>
      <c r="I414" s="230">
        <f>Proj_Inputs!$B$45+(Proj_Inputs!$C$45-Proj_Inputs!$B$45)*C414</f>
        <v>-1.0721600000000026E-3</v>
      </c>
      <c r="J414" s="230">
        <f>Proj_Inputs!$B$46+(Proj_Inputs!$C$46-Proj_Inputs!$B$46)*D414</f>
        <v>-0.12889599999999998</v>
      </c>
      <c r="K414" s="230">
        <f>Proj_Inputs!$B$47+(Proj_Inputs!$C$47-Proj_Inputs!$B$47)*E414</f>
        <v>3.2549499999999995E-2</v>
      </c>
      <c r="L414" s="230">
        <f>Proj_Inputs!$B$46+(Proj_Inputs!$C$46-Proj_Inputs!$B$46)*F414</f>
        <v>-0.13705719999999999</v>
      </c>
      <c r="M414" s="230">
        <f>Proj_Inputs!$B$47+(Proj_Inputs!$C$47-Proj_Inputs!$B$47)*G414</f>
        <v>0.15285199999999999</v>
      </c>
      <c r="N414" s="231">
        <f>(1+H414)*(Proj_Inputs!$B$20+J414)/Proj_Inputs!$B$20*((Proj_Inputs!$B$21+I414)*(1-Proj_Inputs!$B$24)*NPV_Pirelli!$B$47+NPV_Pirelli!$B$49)+(1+K414)*NPV_Pirelli!$B$48</f>
        <v>272.01143700795012</v>
      </c>
      <c r="O414" s="231">
        <f>(1+H414)*(Proj_Inputs!$C$20+L414)/Proj_Inputs!$C$20*((Proj_Inputs!$C$21+I414)*(1-Proj_Inputs!$C$24)*NPV_Hankook!$B$47+NPV_Hankook!$B$49)+(1+M414)*NPV_Hankook!$B$48</f>
        <v>-375.962030271093</v>
      </c>
    </row>
    <row r="415" spans="1:15" x14ac:dyDescent="0.2">
      <c r="A415" s="228">
        <v>391</v>
      </c>
      <c r="B415" s="229">
        <v>0.48622599999999999</v>
      </c>
      <c r="C415" s="229">
        <v>0.443249</v>
      </c>
      <c r="D415" s="229">
        <v>0.50297599999999998</v>
      </c>
      <c r="E415" s="229">
        <v>0.82988300000000004</v>
      </c>
      <c r="F415" s="229">
        <v>0.99948599999999999</v>
      </c>
      <c r="G415" s="229">
        <v>0.75735200000000003</v>
      </c>
      <c r="H415" s="230">
        <f>Proj_Inputs!$B$44+(Proj_Inputs!$C$44-Proj_Inputs!$B$44)*B415</f>
        <v>-2.7548000000000017E-3</v>
      </c>
      <c r="I415" s="230">
        <f>Proj_Inputs!$B$45+(Proj_Inputs!$C$45-Proj_Inputs!$B$45)*C415</f>
        <v>-4.5400800000000019E-3</v>
      </c>
      <c r="J415" s="230">
        <f>Proj_Inputs!$B$46+(Proj_Inputs!$C$46-Proj_Inputs!$B$46)*D415</f>
        <v>-4.9404799999999999E-2</v>
      </c>
      <c r="K415" s="230">
        <f>Proj_Inputs!$B$47+(Proj_Inputs!$C$47-Proj_Inputs!$B$47)*E415</f>
        <v>0.15747074999999999</v>
      </c>
      <c r="L415" s="230">
        <f>Proj_Inputs!$B$46+(Proj_Inputs!$C$46-Proj_Inputs!$B$46)*F415</f>
        <v>4.9897200000000003E-2</v>
      </c>
      <c r="M415" s="230">
        <f>Proj_Inputs!$B$47+(Proj_Inputs!$C$47-Proj_Inputs!$B$47)*G415</f>
        <v>0.13933800000000002</v>
      </c>
      <c r="N415" s="231">
        <f>(1+H415)*(Proj_Inputs!$B$20+J415)/Proj_Inputs!$B$20*((Proj_Inputs!$B$21+I415)*(1-Proj_Inputs!$B$24)*NPV_Pirelli!$B$47+NPV_Pirelli!$B$49)+(1+K415)*NPV_Pirelli!$B$48</f>
        <v>186.07490158959911</v>
      </c>
      <c r="O415" s="231">
        <f>(1+H415)*(Proj_Inputs!$C$20+L415)/Proj_Inputs!$C$20*((Proj_Inputs!$C$21+I415)*(1-Proj_Inputs!$C$24)*NPV_Hankook!$B$47+NPV_Hankook!$B$49)+(1+M415)*NPV_Hankook!$B$48</f>
        <v>-228.18408357576095</v>
      </c>
    </row>
    <row r="416" spans="1:15" x14ac:dyDescent="0.2">
      <c r="A416" s="228">
        <v>392</v>
      </c>
      <c r="B416" s="229">
        <v>5.2526000000000003E-2</v>
      </c>
      <c r="C416" s="229">
        <v>0.38694899999999999</v>
      </c>
      <c r="D416" s="229">
        <v>0.172435</v>
      </c>
      <c r="E416" s="229">
        <v>0.96042899999999998</v>
      </c>
      <c r="F416" s="229">
        <v>0.33478200000000002</v>
      </c>
      <c r="G416" s="229">
        <v>0.502996</v>
      </c>
      <c r="H416" s="230">
        <f>Proj_Inputs!$B$44+(Proj_Inputs!$C$44-Proj_Inputs!$B$44)*B416</f>
        <v>-8.9494799999999999E-2</v>
      </c>
      <c r="I416" s="230">
        <f>Proj_Inputs!$B$45+(Proj_Inputs!$C$45-Proj_Inputs!$B$45)*C416</f>
        <v>-9.0440799999999995E-3</v>
      </c>
      <c r="J416" s="230">
        <f>Proj_Inputs!$B$46+(Proj_Inputs!$C$46-Proj_Inputs!$B$46)*D416</f>
        <v>-0.11551299999999999</v>
      </c>
      <c r="K416" s="230">
        <f>Proj_Inputs!$B$47+(Proj_Inputs!$C$47-Proj_Inputs!$B$47)*E416</f>
        <v>0.19010725000000001</v>
      </c>
      <c r="L416" s="230">
        <f>Proj_Inputs!$B$46+(Proj_Inputs!$C$46-Proj_Inputs!$B$46)*F416</f>
        <v>-8.3043599999999981E-2</v>
      </c>
      <c r="M416" s="230">
        <f>Proj_Inputs!$B$47+(Proj_Inputs!$C$47-Proj_Inputs!$B$47)*G416</f>
        <v>7.5748999999999997E-2</v>
      </c>
      <c r="N416" s="231">
        <f>(1+H416)*(Proj_Inputs!$B$20+J416)/Proj_Inputs!$B$20*((Proj_Inputs!$B$21+I416)*(1-Proj_Inputs!$B$24)*NPV_Pirelli!$B$47+NPV_Pirelli!$B$49)+(1+K416)*NPV_Pirelli!$B$48</f>
        <v>-35.273884247125693</v>
      </c>
      <c r="O416" s="231">
        <f>(1+H416)*(Proj_Inputs!$C$20+L416)/Proj_Inputs!$C$20*((Proj_Inputs!$C$21+I416)*(1-Proj_Inputs!$C$24)*NPV_Hankook!$B$47+NPV_Hankook!$B$49)+(1+M416)*NPV_Hankook!$B$48</f>
        <v>-415.35907894904835</v>
      </c>
    </row>
    <row r="417" spans="1:15" x14ac:dyDescent="0.2">
      <c r="A417" s="228">
        <v>393</v>
      </c>
      <c r="B417" s="229">
        <v>2.2519999999999998E-2</v>
      </c>
      <c r="C417" s="229">
        <v>0.54586900000000005</v>
      </c>
      <c r="D417" s="229">
        <v>0.85252399999999995</v>
      </c>
      <c r="E417" s="229">
        <v>0.66975499999999999</v>
      </c>
      <c r="F417" s="229">
        <v>0.94894800000000001</v>
      </c>
      <c r="G417" s="229">
        <v>0.63256100000000004</v>
      </c>
      <c r="H417" s="230">
        <f>Proj_Inputs!$B$44+(Proj_Inputs!$C$44-Proj_Inputs!$B$44)*B417</f>
        <v>-9.5496000000000011E-2</v>
      </c>
      <c r="I417" s="230">
        <f>Proj_Inputs!$B$45+(Proj_Inputs!$C$45-Proj_Inputs!$B$45)*C417</f>
        <v>3.6695200000000025E-3</v>
      </c>
      <c r="J417" s="230">
        <f>Proj_Inputs!$B$46+(Proj_Inputs!$C$46-Proj_Inputs!$B$46)*D417</f>
        <v>2.0504800000000017E-2</v>
      </c>
      <c r="K417" s="230">
        <f>Proj_Inputs!$B$47+(Proj_Inputs!$C$47-Proj_Inputs!$B$47)*E417</f>
        <v>0.11743874999999999</v>
      </c>
      <c r="L417" s="230">
        <f>Proj_Inputs!$B$46+(Proj_Inputs!$C$46-Proj_Inputs!$B$46)*F417</f>
        <v>3.9789600000000008E-2</v>
      </c>
      <c r="M417" s="230">
        <f>Proj_Inputs!$B$47+(Proj_Inputs!$C$47-Proj_Inputs!$B$47)*G417</f>
        <v>0.10814025000000001</v>
      </c>
      <c r="N417" s="231">
        <f>(1+H417)*(Proj_Inputs!$B$20+J417)/Proj_Inputs!$B$20*((Proj_Inputs!$B$21+I417)*(1-Proj_Inputs!$B$24)*NPV_Pirelli!$B$47+NPV_Pirelli!$B$49)+(1+K417)*NPV_Pirelli!$B$48</f>
        <v>244.34642957365384</v>
      </c>
      <c r="O417" s="231">
        <f>(1+H417)*(Proj_Inputs!$C$20+L417)/Proj_Inputs!$C$20*((Proj_Inputs!$C$21+I417)*(1-Proj_Inputs!$C$24)*NPV_Hankook!$B$47+NPV_Hankook!$B$49)+(1+M417)*NPV_Hankook!$B$48</f>
        <v>-251.3802631202775</v>
      </c>
    </row>
    <row r="418" spans="1:15" x14ac:dyDescent="0.2">
      <c r="A418" s="228">
        <v>394</v>
      </c>
      <c r="B418" s="229">
        <v>0.54317700000000002</v>
      </c>
      <c r="C418" s="229">
        <v>4.8394E-2</v>
      </c>
      <c r="D418" s="229">
        <v>0.30025000000000002</v>
      </c>
      <c r="E418" s="229">
        <v>0.43433899999999998</v>
      </c>
      <c r="F418" s="229">
        <v>0.122638</v>
      </c>
      <c r="G418" s="229">
        <v>0.17596800000000001</v>
      </c>
      <c r="H418" s="230">
        <f>Proj_Inputs!$B$44+(Proj_Inputs!$C$44-Proj_Inputs!$B$44)*B418</f>
        <v>8.6354000000000014E-3</v>
      </c>
      <c r="I418" s="230">
        <f>Proj_Inputs!$B$45+(Proj_Inputs!$C$45-Proj_Inputs!$B$45)*C418</f>
        <v>-3.6128479999999998E-2</v>
      </c>
      <c r="J418" s="230">
        <f>Proj_Inputs!$B$46+(Proj_Inputs!$C$46-Proj_Inputs!$B$46)*D418</f>
        <v>-8.9949999999999988E-2</v>
      </c>
      <c r="K418" s="230">
        <f>Proj_Inputs!$B$47+(Proj_Inputs!$C$47-Proj_Inputs!$B$47)*E418</f>
        <v>5.8584749999999991E-2</v>
      </c>
      <c r="L418" s="230">
        <f>Proj_Inputs!$B$46+(Proj_Inputs!$C$46-Proj_Inputs!$B$46)*F418</f>
        <v>-0.12547239999999998</v>
      </c>
      <c r="M418" s="230">
        <f>Proj_Inputs!$B$47+(Proj_Inputs!$C$47-Proj_Inputs!$B$47)*G418</f>
        <v>-6.0079999999999995E-3</v>
      </c>
      <c r="N418" s="231">
        <f>(1+H418)*(Proj_Inputs!$B$20+J418)/Proj_Inputs!$B$20*((Proj_Inputs!$B$21+I418)*(1-Proj_Inputs!$B$24)*NPV_Pirelli!$B$47+NPV_Pirelli!$B$49)+(1+K418)*NPV_Pirelli!$B$48</f>
        <v>46.215689344384941</v>
      </c>
      <c r="O418" s="231">
        <f>(1+H418)*(Proj_Inputs!$C$20+L418)/Proj_Inputs!$C$20*((Proj_Inputs!$C$21+I418)*(1-Proj_Inputs!$C$24)*NPV_Hankook!$B$47+NPV_Hankook!$B$49)+(1+M418)*NPV_Hankook!$B$48</f>
        <v>-439.36042424253321</v>
      </c>
    </row>
    <row r="419" spans="1:15" x14ac:dyDescent="0.2">
      <c r="A419" s="228">
        <v>395</v>
      </c>
      <c r="B419" s="229">
        <v>4.8347000000000001E-2</v>
      </c>
      <c r="C419" s="229">
        <v>0.75196799999999997</v>
      </c>
      <c r="D419" s="229">
        <v>0.78294200000000003</v>
      </c>
      <c r="E419" s="229">
        <v>0.128667</v>
      </c>
      <c r="F419" s="229">
        <v>0.53933399999999998</v>
      </c>
      <c r="G419" s="229">
        <v>0.70023100000000005</v>
      </c>
      <c r="H419" s="230">
        <f>Proj_Inputs!$B$44+(Proj_Inputs!$C$44-Proj_Inputs!$B$44)*B419</f>
        <v>-9.0330600000000011E-2</v>
      </c>
      <c r="I419" s="230">
        <f>Proj_Inputs!$B$45+(Proj_Inputs!$C$45-Proj_Inputs!$B$45)*C419</f>
        <v>2.0157439999999999E-2</v>
      </c>
      <c r="J419" s="230">
        <f>Proj_Inputs!$B$46+(Proj_Inputs!$C$46-Proj_Inputs!$B$46)*D419</f>
        <v>6.588400000000022E-3</v>
      </c>
      <c r="K419" s="230">
        <f>Proj_Inputs!$B$47+(Proj_Inputs!$C$47-Proj_Inputs!$B$47)*E419</f>
        <v>-1.7833250000000002E-2</v>
      </c>
      <c r="L419" s="230">
        <f>Proj_Inputs!$B$46+(Proj_Inputs!$C$46-Proj_Inputs!$B$46)*F419</f>
        <v>-4.2133199999999996E-2</v>
      </c>
      <c r="M419" s="230">
        <f>Proj_Inputs!$B$47+(Proj_Inputs!$C$47-Proj_Inputs!$B$47)*G419</f>
        <v>0.12505775000000002</v>
      </c>
      <c r="N419" s="231">
        <f>(1+H419)*(Proj_Inputs!$B$20+J419)/Proj_Inputs!$B$20*((Proj_Inputs!$B$21+I419)*(1-Proj_Inputs!$B$24)*NPV_Pirelli!$B$47+NPV_Pirelli!$B$49)+(1+K419)*NPV_Pirelli!$B$48</f>
        <v>433.76777246995459</v>
      </c>
      <c r="O419" s="231">
        <f>(1+H419)*(Proj_Inputs!$C$20+L419)/Proj_Inputs!$C$20*((Proj_Inputs!$C$21+I419)*(1-Proj_Inputs!$C$24)*NPV_Hankook!$B$47+NPV_Hankook!$B$49)+(1+M419)*NPV_Hankook!$B$48</f>
        <v>-258.13529190246163</v>
      </c>
    </row>
    <row r="420" spans="1:15" x14ac:dyDescent="0.2">
      <c r="A420" s="228">
        <v>396</v>
      </c>
      <c r="B420" s="229">
        <v>0.809056</v>
      </c>
      <c r="C420" s="229">
        <v>0.187162</v>
      </c>
      <c r="D420" s="229">
        <v>0.31719799999999998</v>
      </c>
      <c r="E420" s="229">
        <v>0.38522400000000001</v>
      </c>
      <c r="F420" s="229">
        <v>0.78291999999999995</v>
      </c>
      <c r="G420" s="229">
        <v>0.887374</v>
      </c>
      <c r="H420" s="230">
        <f>Proj_Inputs!$B$44+(Proj_Inputs!$C$44-Proj_Inputs!$B$44)*B420</f>
        <v>6.1811200000000011E-2</v>
      </c>
      <c r="I420" s="230">
        <f>Proj_Inputs!$B$45+(Proj_Inputs!$C$45-Proj_Inputs!$B$45)*C420</f>
        <v>-2.502704E-2</v>
      </c>
      <c r="J420" s="230">
        <f>Proj_Inputs!$B$46+(Proj_Inputs!$C$46-Proj_Inputs!$B$46)*D420</f>
        <v>-8.6560399999999996E-2</v>
      </c>
      <c r="K420" s="230">
        <f>Proj_Inputs!$B$47+(Proj_Inputs!$C$47-Proj_Inputs!$B$47)*E420</f>
        <v>4.6306E-2</v>
      </c>
      <c r="L420" s="230">
        <f>Proj_Inputs!$B$46+(Proj_Inputs!$C$46-Proj_Inputs!$B$46)*F420</f>
        <v>6.5840000000000065E-3</v>
      </c>
      <c r="M420" s="230">
        <f>Proj_Inputs!$B$47+(Proj_Inputs!$C$47-Proj_Inputs!$B$47)*G420</f>
        <v>0.17184349999999998</v>
      </c>
      <c r="N420" s="231">
        <f>(1+H420)*(Proj_Inputs!$B$20+J420)/Proj_Inputs!$B$20*((Proj_Inputs!$B$21+I420)*(1-Proj_Inputs!$B$24)*NPV_Pirelli!$B$47+NPV_Pirelli!$B$49)+(1+K420)*NPV_Pirelli!$B$48</f>
        <v>172.11603318740686</v>
      </c>
      <c r="O420" s="231">
        <f>(1+H420)*(Proj_Inputs!$C$20+L420)/Proj_Inputs!$C$20*((Proj_Inputs!$C$21+I420)*(1-Proj_Inputs!$C$24)*NPV_Hankook!$B$47+NPV_Hankook!$B$49)+(1+M420)*NPV_Hankook!$B$48</f>
        <v>-398.39890868473526</v>
      </c>
    </row>
    <row r="421" spans="1:15" x14ac:dyDescent="0.2">
      <c r="A421" s="228">
        <v>397</v>
      </c>
      <c r="B421" s="229">
        <v>0.86652300000000004</v>
      </c>
      <c r="C421" s="229">
        <v>0.16928399999999999</v>
      </c>
      <c r="D421" s="229">
        <v>0.83594900000000005</v>
      </c>
      <c r="E421" s="229">
        <v>0.64431000000000005</v>
      </c>
      <c r="F421" s="229">
        <v>0.22563900000000001</v>
      </c>
      <c r="G421" s="229">
        <v>0.393146</v>
      </c>
      <c r="H421" s="230">
        <f>Proj_Inputs!$B$44+(Proj_Inputs!$C$44-Proj_Inputs!$B$44)*B421</f>
        <v>7.3304600000000025E-2</v>
      </c>
      <c r="I421" s="230">
        <f>Proj_Inputs!$B$45+(Proj_Inputs!$C$45-Proj_Inputs!$B$45)*C421</f>
        <v>-2.645728E-2</v>
      </c>
      <c r="J421" s="230">
        <f>Proj_Inputs!$B$46+(Proj_Inputs!$C$46-Proj_Inputs!$B$46)*D421</f>
        <v>1.7189800000000033E-2</v>
      </c>
      <c r="K421" s="230">
        <f>Proj_Inputs!$B$47+(Proj_Inputs!$C$47-Proj_Inputs!$B$47)*E421</f>
        <v>0.11107750000000001</v>
      </c>
      <c r="L421" s="230">
        <f>Proj_Inputs!$B$46+(Proj_Inputs!$C$46-Proj_Inputs!$B$46)*F421</f>
        <v>-0.1048722</v>
      </c>
      <c r="M421" s="230">
        <f>Proj_Inputs!$B$47+(Proj_Inputs!$C$47-Proj_Inputs!$B$47)*G421</f>
        <v>4.8286499999999996E-2</v>
      </c>
      <c r="N421" s="231">
        <f>(1+H421)*(Proj_Inputs!$B$20+J421)/Proj_Inputs!$B$20*((Proj_Inputs!$B$21+I421)*(1-Proj_Inputs!$B$24)*NPV_Pirelli!$B$47+NPV_Pirelli!$B$49)+(1+K421)*NPV_Pirelli!$B$48</f>
        <v>250.70237600548933</v>
      </c>
      <c r="O421" s="231">
        <f>(1+H421)*(Proj_Inputs!$C$20+L421)/Proj_Inputs!$C$20*((Proj_Inputs!$C$21+I421)*(1-Proj_Inputs!$C$24)*NPV_Hankook!$B$47+NPV_Hankook!$B$49)+(1+M421)*NPV_Hankook!$B$48</f>
        <v>-373.41411966635064</v>
      </c>
    </row>
    <row r="422" spans="1:15" x14ac:dyDescent="0.2">
      <c r="A422" s="228">
        <v>398</v>
      </c>
      <c r="B422" s="229">
        <v>0.51762699999999995</v>
      </c>
      <c r="C422" s="229">
        <v>7.3908000000000001E-2</v>
      </c>
      <c r="D422" s="229">
        <v>0.56986800000000004</v>
      </c>
      <c r="E422" s="229">
        <v>0.60431999999999997</v>
      </c>
      <c r="F422" s="229">
        <v>0.39611400000000002</v>
      </c>
      <c r="G422" s="229">
        <v>0.31850200000000001</v>
      </c>
      <c r="H422" s="230">
        <f>Proj_Inputs!$B$44+(Proj_Inputs!$C$44-Proj_Inputs!$B$44)*B422</f>
        <v>3.5253999999999841E-3</v>
      </c>
      <c r="I422" s="230">
        <f>Proj_Inputs!$B$45+(Proj_Inputs!$C$45-Proj_Inputs!$B$45)*C422</f>
        <v>-3.4087359999999997E-2</v>
      </c>
      <c r="J422" s="230">
        <f>Proj_Inputs!$B$46+(Proj_Inputs!$C$46-Proj_Inputs!$B$46)*D422</f>
        <v>-3.6026399999999986E-2</v>
      </c>
      <c r="K422" s="230">
        <f>Proj_Inputs!$B$47+(Proj_Inputs!$C$47-Proj_Inputs!$B$47)*E422</f>
        <v>0.10107999999999999</v>
      </c>
      <c r="L422" s="230">
        <f>Proj_Inputs!$B$46+(Proj_Inputs!$C$46-Proj_Inputs!$B$46)*F422</f>
        <v>-7.0777199999999985E-2</v>
      </c>
      <c r="M422" s="230">
        <f>Proj_Inputs!$B$47+(Proj_Inputs!$C$47-Proj_Inputs!$B$47)*G422</f>
        <v>2.9625499999999999E-2</v>
      </c>
      <c r="N422" s="231">
        <f>(1+H422)*(Proj_Inputs!$B$20+J422)/Proj_Inputs!$B$20*((Proj_Inputs!$B$21+I422)*(1-Proj_Inputs!$B$24)*NPV_Pirelli!$B$47+NPV_Pirelli!$B$49)+(1+K422)*NPV_Pirelli!$B$48</f>
        <v>78.749461428457039</v>
      </c>
      <c r="O422" s="231">
        <f>(1+H422)*(Proj_Inputs!$C$20+L422)/Proj_Inputs!$C$20*((Proj_Inputs!$C$21+I422)*(1-Proj_Inputs!$C$24)*NPV_Hankook!$B$47+NPV_Hankook!$B$49)+(1+M422)*NPV_Hankook!$B$48</f>
        <v>-421.13862670916808</v>
      </c>
    </row>
    <row r="423" spans="1:15" x14ac:dyDescent="0.2">
      <c r="A423" s="228">
        <v>399</v>
      </c>
      <c r="B423" s="229">
        <v>0.54262699999999997</v>
      </c>
      <c r="C423" s="229">
        <v>0.248728</v>
      </c>
      <c r="D423" s="229">
        <v>0.23147200000000001</v>
      </c>
      <c r="E423" s="229">
        <v>0.98697500000000005</v>
      </c>
      <c r="F423" s="229">
        <v>0.82190200000000002</v>
      </c>
      <c r="G423" s="229">
        <v>0.103225</v>
      </c>
      <c r="H423" s="230">
        <f>Proj_Inputs!$B$44+(Proj_Inputs!$C$44-Proj_Inputs!$B$44)*B423</f>
        <v>8.5253999999999885E-3</v>
      </c>
      <c r="I423" s="230">
        <f>Proj_Inputs!$B$45+(Proj_Inputs!$C$45-Proj_Inputs!$B$45)*C423</f>
        <v>-2.010176E-2</v>
      </c>
      <c r="J423" s="230">
        <f>Proj_Inputs!$B$46+(Proj_Inputs!$C$46-Proj_Inputs!$B$46)*D423</f>
        <v>-0.10370559999999998</v>
      </c>
      <c r="K423" s="230">
        <f>Proj_Inputs!$B$47+(Proj_Inputs!$C$47-Proj_Inputs!$B$47)*E423</f>
        <v>0.19674375</v>
      </c>
      <c r="L423" s="230">
        <f>Proj_Inputs!$B$46+(Proj_Inputs!$C$46-Proj_Inputs!$B$46)*F423</f>
        <v>1.4380400000000015E-2</v>
      </c>
      <c r="M423" s="230">
        <f>Proj_Inputs!$B$47+(Proj_Inputs!$C$47-Proj_Inputs!$B$47)*G423</f>
        <v>-2.4193750000000003E-2</v>
      </c>
      <c r="N423" s="231">
        <f>(1+H423)*(Proj_Inputs!$B$20+J423)/Proj_Inputs!$B$20*((Proj_Inputs!$B$21+I423)*(1-Proj_Inputs!$B$24)*NPV_Pirelli!$B$47+NPV_Pirelli!$B$49)+(1+K423)*NPV_Pirelli!$B$48</f>
        <v>10.715422041913257</v>
      </c>
      <c r="O423" s="231">
        <f>(1+H423)*(Proj_Inputs!$C$20+L423)/Proj_Inputs!$C$20*((Proj_Inputs!$C$21+I423)*(1-Proj_Inputs!$C$24)*NPV_Hankook!$B$47+NPV_Hankook!$B$49)+(1+M423)*NPV_Hankook!$B$48</f>
        <v>-176.29923978545457</v>
      </c>
    </row>
    <row r="424" spans="1:15" x14ac:dyDescent="0.2">
      <c r="A424" s="228">
        <v>400</v>
      </c>
      <c r="B424" s="229">
        <v>0.39699699999999999</v>
      </c>
      <c r="C424" s="229">
        <v>0.41921199999999997</v>
      </c>
      <c r="D424" s="229">
        <v>0.970584</v>
      </c>
      <c r="E424" s="229">
        <v>0.46083800000000003</v>
      </c>
      <c r="F424" s="229">
        <v>0.45163900000000001</v>
      </c>
      <c r="G424" s="229">
        <v>0.99670400000000003</v>
      </c>
      <c r="H424" s="230">
        <f>Proj_Inputs!$B$44+(Proj_Inputs!$C$44-Proj_Inputs!$B$44)*B424</f>
        <v>-2.0600599999999997E-2</v>
      </c>
      <c r="I424" s="230">
        <f>Proj_Inputs!$B$45+(Proj_Inputs!$C$45-Proj_Inputs!$B$45)*C424</f>
        <v>-6.4630400000000032E-3</v>
      </c>
      <c r="J424" s="230">
        <f>Proj_Inputs!$B$46+(Proj_Inputs!$C$46-Proj_Inputs!$B$46)*D424</f>
        <v>4.4116800000000012E-2</v>
      </c>
      <c r="K424" s="230">
        <f>Proj_Inputs!$B$47+(Proj_Inputs!$C$47-Proj_Inputs!$B$47)*E424</f>
        <v>6.5209500000000004E-2</v>
      </c>
      <c r="L424" s="230">
        <f>Proj_Inputs!$B$46+(Proj_Inputs!$C$46-Proj_Inputs!$B$46)*F424</f>
        <v>-5.9672199999999981E-2</v>
      </c>
      <c r="M424" s="230">
        <f>Proj_Inputs!$B$47+(Proj_Inputs!$C$47-Proj_Inputs!$B$47)*G424</f>
        <v>0.19917600000000002</v>
      </c>
      <c r="N424" s="231">
        <f>(1+H424)*(Proj_Inputs!$B$20+J424)/Proj_Inputs!$B$20*((Proj_Inputs!$B$21+I424)*(1-Proj_Inputs!$B$24)*NPV_Pirelli!$B$47+NPV_Pirelli!$B$49)+(1+K424)*NPV_Pirelli!$B$48</f>
        <v>345.55227320648828</v>
      </c>
      <c r="O424" s="231">
        <f>(1+H424)*(Proj_Inputs!$C$20+L424)/Proj_Inputs!$C$20*((Proj_Inputs!$C$21+I424)*(1-Proj_Inputs!$C$24)*NPV_Hankook!$B$47+NPV_Hankook!$B$49)+(1+M424)*NPV_Hankook!$B$48</f>
        <v>-453.77756696021152</v>
      </c>
    </row>
    <row r="425" spans="1:15" x14ac:dyDescent="0.2">
      <c r="A425" s="228">
        <v>401</v>
      </c>
      <c r="B425" s="229">
        <v>0.19681100000000001</v>
      </c>
      <c r="C425" s="229">
        <v>0.78029700000000002</v>
      </c>
      <c r="D425" s="229">
        <v>8.6139999999999994E-2</v>
      </c>
      <c r="E425" s="229">
        <v>0.61389899999999997</v>
      </c>
      <c r="F425" s="229">
        <v>0.87573800000000002</v>
      </c>
      <c r="G425" s="229">
        <v>0.59562999999999999</v>
      </c>
      <c r="H425" s="230">
        <f>Proj_Inputs!$B$44+(Proj_Inputs!$C$44-Proj_Inputs!$B$44)*B425</f>
        <v>-6.0637799999999999E-2</v>
      </c>
      <c r="I425" s="230">
        <f>Proj_Inputs!$B$45+(Proj_Inputs!$C$45-Proj_Inputs!$B$45)*C425</f>
        <v>2.2423760000000001E-2</v>
      </c>
      <c r="J425" s="230">
        <f>Proj_Inputs!$B$46+(Proj_Inputs!$C$46-Proj_Inputs!$B$46)*D425</f>
        <v>-0.132772</v>
      </c>
      <c r="K425" s="230">
        <f>Proj_Inputs!$B$47+(Proj_Inputs!$C$47-Proj_Inputs!$B$47)*E425</f>
        <v>0.10347474999999999</v>
      </c>
      <c r="L425" s="230">
        <f>Proj_Inputs!$B$46+(Proj_Inputs!$C$46-Proj_Inputs!$B$46)*F425</f>
        <v>2.514760000000002E-2</v>
      </c>
      <c r="M425" s="230">
        <f>Proj_Inputs!$B$47+(Proj_Inputs!$C$47-Proj_Inputs!$B$47)*G425</f>
        <v>9.8907499999999995E-2</v>
      </c>
      <c r="N425" s="231">
        <f>(1+H425)*(Proj_Inputs!$B$20+J425)/Proj_Inputs!$B$20*((Proj_Inputs!$B$21+I425)*(1-Proj_Inputs!$B$24)*NPV_Pirelli!$B$47+NPV_Pirelli!$B$49)+(1+K425)*NPV_Pirelli!$B$48</f>
        <v>197.03050718350778</v>
      </c>
      <c r="O425" s="231">
        <f>(1+H425)*(Proj_Inputs!$C$20+L425)/Proj_Inputs!$C$20*((Proj_Inputs!$C$21+I425)*(1-Proj_Inputs!$C$24)*NPV_Hankook!$B$47+NPV_Hankook!$B$49)+(1+M425)*NPV_Hankook!$B$48</f>
        <v>-93.332229669733351</v>
      </c>
    </row>
    <row r="426" spans="1:15" x14ac:dyDescent="0.2">
      <c r="A426" s="228">
        <v>402</v>
      </c>
      <c r="B426" s="229">
        <v>0.50224400000000002</v>
      </c>
      <c r="C426" s="229">
        <v>0.19814799999999999</v>
      </c>
      <c r="D426" s="229">
        <v>0.30365799999999998</v>
      </c>
      <c r="E426" s="229">
        <v>0.84145599999999998</v>
      </c>
      <c r="F426" s="229">
        <v>0.29170499999999999</v>
      </c>
      <c r="G426" s="229">
        <v>0.49763499999999999</v>
      </c>
      <c r="H426" s="230">
        <f>Proj_Inputs!$B$44+(Proj_Inputs!$C$44-Proj_Inputs!$B$44)*B426</f>
        <v>4.487999999999992E-4</v>
      </c>
      <c r="I426" s="230">
        <f>Proj_Inputs!$B$45+(Proj_Inputs!$C$45-Proj_Inputs!$B$45)*C426</f>
        <v>-2.4148160000000002E-2</v>
      </c>
      <c r="J426" s="230">
        <f>Proj_Inputs!$B$46+(Proj_Inputs!$C$46-Proj_Inputs!$B$46)*D426</f>
        <v>-8.9268399999999998E-2</v>
      </c>
      <c r="K426" s="230">
        <f>Proj_Inputs!$B$47+(Proj_Inputs!$C$47-Proj_Inputs!$B$47)*E426</f>
        <v>0.16036400000000001</v>
      </c>
      <c r="L426" s="230">
        <f>Proj_Inputs!$B$46+(Proj_Inputs!$C$46-Proj_Inputs!$B$46)*F426</f>
        <v>-9.165899999999999E-2</v>
      </c>
      <c r="M426" s="230">
        <f>Proj_Inputs!$B$47+(Proj_Inputs!$C$47-Proj_Inputs!$B$47)*G426</f>
        <v>7.4408749999999996E-2</v>
      </c>
      <c r="N426" s="231">
        <f>(1+H426)*(Proj_Inputs!$B$20+J426)/Proj_Inputs!$B$20*((Proj_Inputs!$B$21+I426)*(1-Proj_Inputs!$B$24)*NPV_Pirelli!$B$47+NPV_Pirelli!$B$49)+(1+K426)*NPV_Pirelli!$B$48</f>
        <v>26.355986655213087</v>
      </c>
      <c r="O426" s="231">
        <f>(1+H426)*(Proj_Inputs!$C$20+L426)/Proj_Inputs!$C$20*((Proj_Inputs!$C$21+I426)*(1-Proj_Inputs!$C$24)*NPV_Hankook!$B$47+NPV_Hankook!$B$49)+(1+M426)*NPV_Hankook!$B$48</f>
        <v>-433.90829953127741</v>
      </c>
    </row>
    <row r="427" spans="1:15" x14ac:dyDescent="0.2">
      <c r="A427" s="228">
        <v>403</v>
      </c>
      <c r="B427" s="229">
        <v>0.19015299999999999</v>
      </c>
      <c r="C427" s="229">
        <v>0.61845099999999997</v>
      </c>
      <c r="D427" s="229">
        <v>0.116184</v>
      </c>
      <c r="E427" s="229">
        <v>0.693268</v>
      </c>
      <c r="F427" s="229">
        <v>0.48889500000000002</v>
      </c>
      <c r="G427" s="229">
        <v>0.572434</v>
      </c>
      <c r="H427" s="230">
        <f>Proj_Inputs!$B$44+(Proj_Inputs!$C$44-Proj_Inputs!$B$44)*B427</f>
        <v>-6.1969400000000008E-2</v>
      </c>
      <c r="I427" s="230">
        <f>Proj_Inputs!$B$45+(Proj_Inputs!$C$45-Proj_Inputs!$B$45)*C427</f>
        <v>9.4760799999999978E-3</v>
      </c>
      <c r="J427" s="230">
        <f>Proj_Inputs!$B$46+(Proj_Inputs!$C$46-Proj_Inputs!$B$46)*D427</f>
        <v>-0.12676319999999999</v>
      </c>
      <c r="K427" s="230">
        <f>Proj_Inputs!$B$47+(Proj_Inputs!$C$47-Proj_Inputs!$B$47)*E427</f>
        <v>0.123317</v>
      </c>
      <c r="L427" s="230">
        <f>Proj_Inputs!$B$46+(Proj_Inputs!$C$46-Proj_Inputs!$B$46)*F427</f>
        <v>-5.222099999999999E-2</v>
      </c>
      <c r="M427" s="230">
        <f>Proj_Inputs!$B$47+(Proj_Inputs!$C$47-Proj_Inputs!$B$47)*G427</f>
        <v>9.3108499999999997E-2</v>
      </c>
      <c r="N427" s="231">
        <f>(1+H427)*(Proj_Inputs!$B$20+J427)/Proj_Inputs!$B$20*((Proj_Inputs!$B$21+I427)*(1-Proj_Inputs!$B$24)*NPV_Pirelli!$B$47+NPV_Pirelli!$B$49)+(1+K427)*NPV_Pirelli!$B$48</f>
        <v>123.66898896467933</v>
      </c>
      <c r="O427" s="231">
        <f>(1+H427)*(Proj_Inputs!$C$20+L427)/Proj_Inputs!$C$20*((Proj_Inputs!$C$21+I427)*(1-Proj_Inputs!$C$24)*NPV_Hankook!$B$47+NPV_Hankook!$B$49)+(1+M427)*NPV_Hankook!$B$48</f>
        <v>-265.63262637814216</v>
      </c>
    </row>
    <row r="428" spans="1:15" x14ac:dyDescent="0.2">
      <c r="A428" s="228">
        <v>404</v>
      </c>
      <c r="B428" s="229">
        <v>0.96674099999999996</v>
      </c>
      <c r="C428" s="229">
        <v>0.73009500000000005</v>
      </c>
      <c r="D428" s="229">
        <v>0.36085400000000001</v>
      </c>
      <c r="E428" s="229">
        <v>0.56534200000000001</v>
      </c>
      <c r="F428" s="229">
        <v>0.58913000000000004</v>
      </c>
      <c r="G428" s="229">
        <v>0.959839</v>
      </c>
      <c r="H428" s="230">
        <f>Proj_Inputs!$B$44+(Proj_Inputs!$C$44-Proj_Inputs!$B$44)*B428</f>
        <v>9.3348199999999992E-2</v>
      </c>
      <c r="I428" s="230">
        <f>Proj_Inputs!$B$45+(Proj_Inputs!$C$45-Proj_Inputs!$B$45)*C428</f>
        <v>1.8407600000000003E-2</v>
      </c>
      <c r="J428" s="230">
        <f>Proj_Inputs!$B$46+(Proj_Inputs!$C$46-Proj_Inputs!$B$46)*D428</f>
        <v>-7.7829199999999987E-2</v>
      </c>
      <c r="K428" s="230">
        <f>Proj_Inputs!$B$47+(Proj_Inputs!$C$47-Proj_Inputs!$B$47)*E428</f>
        <v>9.13355E-2</v>
      </c>
      <c r="L428" s="230">
        <f>Proj_Inputs!$B$46+(Proj_Inputs!$C$46-Proj_Inputs!$B$46)*F428</f>
        <v>-3.217399999999998E-2</v>
      </c>
      <c r="M428" s="230">
        <f>Proj_Inputs!$B$47+(Proj_Inputs!$C$47-Proj_Inputs!$B$47)*G428</f>
        <v>0.18995974999999998</v>
      </c>
      <c r="N428" s="231">
        <f>(1+H428)*(Proj_Inputs!$B$20+J428)/Proj_Inputs!$B$20*((Proj_Inputs!$B$21+I428)*(1-Proj_Inputs!$B$24)*NPV_Pirelli!$B$47+NPV_Pirelli!$B$49)+(1+K428)*NPV_Pirelli!$B$48</f>
        <v>445.61900554722286</v>
      </c>
      <c r="O428" s="231">
        <f>(1+H428)*(Proj_Inputs!$C$20+L428)/Proj_Inputs!$C$20*((Proj_Inputs!$C$21+I428)*(1-Proj_Inputs!$C$24)*NPV_Hankook!$B$47+NPV_Hankook!$B$49)+(1+M428)*NPV_Hankook!$B$48</f>
        <v>-119.47292802772085</v>
      </c>
    </row>
    <row r="429" spans="1:15" x14ac:dyDescent="0.2">
      <c r="A429" s="228">
        <v>405</v>
      </c>
      <c r="B429" s="229">
        <v>3.0584E-2</v>
      </c>
      <c r="C429" s="229">
        <v>0.62121899999999997</v>
      </c>
      <c r="D429" s="229">
        <v>0.24276800000000001</v>
      </c>
      <c r="E429" s="229">
        <v>0.16884299999999999</v>
      </c>
      <c r="F429" s="229">
        <v>0.253251</v>
      </c>
      <c r="G429" s="229">
        <v>0.99763299999999999</v>
      </c>
      <c r="H429" s="230">
        <f>Proj_Inputs!$B$44+(Proj_Inputs!$C$44-Proj_Inputs!$B$44)*B429</f>
        <v>-9.38832E-2</v>
      </c>
      <c r="I429" s="230">
        <f>Proj_Inputs!$B$45+(Proj_Inputs!$C$45-Proj_Inputs!$B$45)*C429</f>
        <v>9.6975199999999942E-3</v>
      </c>
      <c r="J429" s="230">
        <f>Proj_Inputs!$B$46+(Proj_Inputs!$C$46-Proj_Inputs!$B$46)*D429</f>
        <v>-0.10144639999999999</v>
      </c>
      <c r="K429" s="230">
        <f>Proj_Inputs!$B$47+(Proj_Inputs!$C$47-Proj_Inputs!$B$47)*E429</f>
        <v>-7.7892500000000045E-3</v>
      </c>
      <c r="L429" s="230">
        <f>Proj_Inputs!$B$46+(Proj_Inputs!$C$46-Proj_Inputs!$B$46)*F429</f>
        <v>-9.9349799999999988E-2</v>
      </c>
      <c r="M429" s="230">
        <f>Proj_Inputs!$B$47+(Proj_Inputs!$C$47-Proj_Inputs!$B$47)*G429</f>
        <v>0.19940825000000001</v>
      </c>
      <c r="N429" s="231">
        <f>(1+H429)*(Proj_Inputs!$B$20+J429)/Proj_Inputs!$B$20*((Proj_Inputs!$B$21+I429)*(1-Proj_Inputs!$B$24)*NPV_Pirelli!$B$47+NPV_Pirelli!$B$49)+(1+K429)*NPV_Pirelli!$B$48</f>
        <v>225.71094571400488</v>
      </c>
      <c r="O429" s="231">
        <f>(1+H429)*(Proj_Inputs!$C$20+L429)/Proj_Inputs!$C$20*((Proj_Inputs!$C$21+I429)*(1-Proj_Inputs!$C$24)*NPV_Hankook!$B$47+NPV_Hankook!$B$49)+(1+M429)*NPV_Hankook!$B$48</f>
        <v>-476.31560711842712</v>
      </c>
    </row>
    <row r="430" spans="1:15" x14ac:dyDescent="0.2">
      <c r="A430" s="228">
        <v>406</v>
      </c>
      <c r="B430" s="229">
        <v>0.77628299999999995</v>
      </c>
      <c r="C430" s="229">
        <v>0.77446599999999999</v>
      </c>
      <c r="D430" s="229">
        <v>0.16217500000000001</v>
      </c>
      <c r="E430" s="229">
        <v>0.69632000000000005</v>
      </c>
      <c r="F430" s="229">
        <v>0.41266399999999998</v>
      </c>
      <c r="G430" s="229">
        <v>0.86573100000000003</v>
      </c>
      <c r="H430" s="230">
        <f>Proj_Inputs!$B$44+(Proj_Inputs!$C$44-Proj_Inputs!$B$44)*B430</f>
        <v>5.5256599999999989E-2</v>
      </c>
      <c r="I430" s="230">
        <f>Proj_Inputs!$B$45+(Proj_Inputs!$C$45-Proj_Inputs!$B$45)*C430</f>
        <v>2.1957280000000003E-2</v>
      </c>
      <c r="J430" s="230">
        <f>Proj_Inputs!$B$46+(Proj_Inputs!$C$46-Proj_Inputs!$B$46)*D430</f>
        <v>-0.11756499999999999</v>
      </c>
      <c r="K430" s="230">
        <f>Proj_Inputs!$B$47+(Proj_Inputs!$C$47-Proj_Inputs!$B$47)*E430</f>
        <v>0.12408000000000001</v>
      </c>
      <c r="L430" s="230">
        <f>Proj_Inputs!$B$46+(Proj_Inputs!$C$46-Proj_Inputs!$B$46)*F430</f>
        <v>-6.7467199999999991E-2</v>
      </c>
      <c r="M430" s="230">
        <f>Proj_Inputs!$B$47+(Proj_Inputs!$C$47-Proj_Inputs!$B$47)*G430</f>
        <v>0.16643275000000002</v>
      </c>
      <c r="N430" s="231">
        <f>(1+H430)*(Proj_Inputs!$B$20+J430)/Proj_Inputs!$B$20*((Proj_Inputs!$B$21+I430)*(1-Proj_Inputs!$B$24)*NPV_Pirelli!$B$47+NPV_Pirelli!$B$49)+(1+K430)*NPV_Pirelli!$B$48</f>
        <v>333.53193204067088</v>
      </c>
      <c r="O430" s="231">
        <f>(1+H430)*(Proj_Inputs!$C$20+L430)/Proj_Inputs!$C$20*((Proj_Inputs!$C$21+I430)*(1-Proj_Inputs!$C$24)*NPV_Hankook!$B$47+NPV_Hankook!$B$49)+(1+M430)*NPV_Hankook!$B$48</f>
        <v>-162.0689266977663</v>
      </c>
    </row>
    <row r="431" spans="1:15" x14ac:dyDescent="0.2">
      <c r="A431" s="228">
        <v>407</v>
      </c>
      <c r="B431" s="229">
        <v>0.86979499999999998</v>
      </c>
      <c r="C431" s="229">
        <v>0.140071</v>
      </c>
      <c r="D431" s="229">
        <v>0.28062799999999999</v>
      </c>
      <c r="E431" s="229">
        <v>0.60772700000000002</v>
      </c>
      <c r="F431" s="229">
        <v>1.9258000000000001E-2</v>
      </c>
      <c r="G431" s="229">
        <v>0.92105199999999998</v>
      </c>
      <c r="H431" s="230">
        <f>Proj_Inputs!$B$44+(Proj_Inputs!$C$44-Proj_Inputs!$B$44)*B431</f>
        <v>7.3958999999999997E-2</v>
      </c>
      <c r="I431" s="230">
        <f>Proj_Inputs!$B$45+(Proj_Inputs!$C$45-Proj_Inputs!$B$45)*C431</f>
        <v>-2.8794319999999998E-2</v>
      </c>
      <c r="J431" s="230">
        <f>Proj_Inputs!$B$46+(Proj_Inputs!$C$46-Proj_Inputs!$B$46)*D431</f>
        <v>-9.3874399999999997E-2</v>
      </c>
      <c r="K431" s="230">
        <f>Proj_Inputs!$B$47+(Proj_Inputs!$C$47-Proj_Inputs!$B$47)*E431</f>
        <v>0.10193175</v>
      </c>
      <c r="L431" s="230">
        <f>Proj_Inputs!$B$46+(Proj_Inputs!$C$46-Proj_Inputs!$B$46)*F431</f>
        <v>-0.14614839999999998</v>
      </c>
      <c r="M431" s="230">
        <f>Proj_Inputs!$B$47+(Proj_Inputs!$C$47-Proj_Inputs!$B$47)*G431</f>
        <v>0.18026300000000001</v>
      </c>
      <c r="N431" s="231">
        <f>(1+H431)*(Proj_Inputs!$B$20+J431)/Proj_Inputs!$B$20*((Proj_Inputs!$B$21+I431)*(1-Proj_Inputs!$B$24)*NPV_Pirelli!$B$47+NPV_Pirelli!$B$49)+(1+K431)*NPV_Pirelli!$B$48</f>
        <v>108.18467534508659</v>
      </c>
      <c r="O431" s="231">
        <f>(1+H431)*(Proj_Inputs!$C$20+L431)/Proj_Inputs!$C$20*((Proj_Inputs!$C$21+I431)*(1-Proj_Inputs!$C$24)*NPV_Hankook!$B$47+NPV_Hankook!$B$49)+(1+M431)*NPV_Hankook!$B$48</f>
        <v>-584.78219597373788</v>
      </c>
    </row>
    <row r="432" spans="1:15" x14ac:dyDescent="0.2">
      <c r="A432" s="228">
        <v>408</v>
      </c>
      <c r="B432" s="229">
        <v>0.20416100000000001</v>
      </c>
      <c r="C432" s="229">
        <v>0.91664199999999996</v>
      </c>
      <c r="D432" s="229">
        <v>0.679338</v>
      </c>
      <c r="E432" s="229">
        <v>0.84073200000000003</v>
      </c>
      <c r="F432" s="229">
        <v>0.895895</v>
      </c>
      <c r="G432" s="229">
        <v>9.2638999999999999E-2</v>
      </c>
      <c r="H432" s="230">
        <f>Proj_Inputs!$B$44+(Proj_Inputs!$C$44-Proj_Inputs!$B$44)*B432</f>
        <v>-5.91678E-2</v>
      </c>
      <c r="I432" s="230">
        <f>Proj_Inputs!$B$45+(Proj_Inputs!$C$45-Proj_Inputs!$B$45)*C432</f>
        <v>3.3331359999999997E-2</v>
      </c>
      <c r="J432" s="230">
        <f>Proj_Inputs!$B$46+(Proj_Inputs!$C$46-Proj_Inputs!$B$46)*D432</f>
        <v>-1.4132399999999989E-2</v>
      </c>
      <c r="K432" s="230">
        <f>Proj_Inputs!$B$47+(Proj_Inputs!$C$47-Proj_Inputs!$B$47)*E432</f>
        <v>0.16018300000000002</v>
      </c>
      <c r="L432" s="230">
        <f>Proj_Inputs!$B$46+(Proj_Inputs!$C$46-Proj_Inputs!$B$46)*F432</f>
        <v>2.917900000000001E-2</v>
      </c>
      <c r="M432" s="230">
        <f>Proj_Inputs!$B$47+(Proj_Inputs!$C$47-Proj_Inputs!$B$47)*G432</f>
        <v>-2.6840250000000003E-2</v>
      </c>
      <c r="N432" s="231">
        <f>(1+H432)*(Proj_Inputs!$B$20+J432)/Proj_Inputs!$B$20*((Proj_Inputs!$B$21+I432)*(1-Proj_Inputs!$B$24)*NPV_Pirelli!$B$47+NPV_Pirelli!$B$49)+(1+K432)*NPV_Pirelli!$B$48</f>
        <v>381.72694702812942</v>
      </c>
      <c r="O432" s="231">
        <f>(1+H432)*(Proj_Inputs!$C$20+L432)/Proj_Inputs!$C$20*((Proj_Inputs!$C$21+I432)*(1-Proj_Inputs!$C$24)*NPV_Hankook!$B$47+NPV_Hankook!$B$49)+(1+M432)*NPV_Hankook!$B$48</f>
        <v>132.58638605791248</v>
      </c>
    </row>
    <row r="433" spans="1:15" x14ac:dyDescent="0.2">
      <c r="A433" s="228">
        <v>409</v>
      </c>
      <c r="B433" s="229">
        <v>0.67131099999999999</v>
      </c>
      <c r="C433" s="229">
        <v>0.36260100000000001</v>
      </c>
      <c r="D433" s="229">
        <v>0.62282099999999996</v>
      </c>
      <c r="E433" s="229">
        <v>0.97731800000000002</v>
      </c>
      <c r="F433" s="229">
        <v>0.40937899999999999</v>
      </c>
      <c r="G433" s="229">
        <v>0.193216</v>
      </c>
      <c r="H433" s="230">
        <f>Proj_Inputs!$B$44+(Proj_Inputs!$C$44-Proj_Inputs!$B$44)*B433</f>
        <v>3.4262199999999993E-2</v>
      </c>
      <c r="I433" s="230">
        <f>Proj_Inputs!$B$45+(Proj_Inputs!$C$45-Proj_Inputs!$B$45)*C433</f>
        <v>-1.0991919999999999E-2</v>
      </c>
      <c r="J433" s="230">
        <f>Proj_Inputs!$B$46+(Proj_Inputs!$C$46-Proj_Inputs!$B$46)*D433</f>
        <v>-2.5435799999999995E-2</v>
      </c>
      <c r="K433" s="230">
        <f>Proj_Inputs!$B$47+(Proj_Inputs!$C$47-Proj_Inputs!$B$47)*E433</f>
        <v>0.19432949999999999</v>
      </c>
      <c r="L433" s="230">
        <f>Proj_Inputs!$B$46+(Proj_Inputs!$C$46-Proj_Inputs!$B$46)*F433</f>
        <v>-6.8124199999999996E-2</v>
      </c>
      <c r="M433" s="230">
        <f>Proj_Inputs!$B$47+(Proj_Inputs!$C$47-Proj_Inputs!$B$47)*G433</f>
        <v>-1.6960000000000031E-3</v>
      </c>
      <c r="N433" s="231">
        <f>(1+H433)*(Proj_Inputs!$B$20+J433)/Proj_Inputs!$B$20*((Proj_Inputs!$B$21+I433)*(1-Proj_Inputs!$B$24)*NPV_Pirelli!$B$47+NPV_Pirelli!$B$49)+(1+K433)*NPV_Pirelli!$B$48</f>
        <v>189.78787177278286</v>
      </c>
      <c r="O433" s="231">
        <f>(1+H433)*(Proj_Inputs!$C$20+L433)/Proj_Inputs!$C$20*((Proj_Inputs!$C$21+I433)*(1-Proj_Inputs!$C$24)*NPV_Hankook!$B$47+NPV_Hankook!$B$49)+(1+M433)*NPV_Hankook!$B$48</f>
        <v>-207.04492722328519</v>
      </c>
    </row>
    <row r="434" spans="1:15" x14ac:dyDescent="0.2">
      <c r="A434" s="228">
        <v>410</v>
      </c>
      <c r="B434" s="229">
        <v>0.84664300000000003</v>
      </c>
      <c r="C434" s="229">
        <v>0.27544600000000002</v>
      </c>
      <c r="D434" s="229">
        <v>0.96269099999999996</v>
      </c>
      <c r="E434" s="229">
        <v>0.48187799999999997</v>
      </c>
      <c r="F434" s="229">
        <v>0.64754999999999996</v>
      </c>
      <c r="G434" s="229">
        <v>0.80752900000000005</v>
      </c>
      <c r="H434" s="230">
        <f>Proj_Inputs!$B$44+(Proj_Inputs!$C$44-Proj_Inputs!$B$44)*B434</f>
        <v>6.9328600000000018E-2</v>
      </c>
      <c r="I434" s="230">
        <f>Proj_Inputs!$B$45+(Proj_Inputs!$C$45-Proj_Inputs!$B$45)*C434</f>
        <v>-1.7964319999999999E-2</v>
      </c>
      <c r="J434" s="230">
        <f>Proj_Inputs!$B$46+(Proj_Inputs!$C$46-Proj_Inputs!$B$46)*D434</f>
        <v>4.2538199999999998E-2</v>
      </c>
      <c r="K434" s="230">
        <f>Proj_Inputs!$B$47+(Proj_Inputs!$C$47-Proj_Inputs!$B$47)*E434</f>
        <v>7.046949999999999E-2</v>
      </c>
      <c r="L434" s="230">
        <f>Proj_Inputs!$B$46+(Proj_Inputs!$C$46-Proj_Inputs!$B$46)*F434</f>
        <v>-2.0490000000000008E-2</v>
      </c>
      <c r="M434" s="230">
        <f>Proj_Inputs!$B$47+(Proj_Inputs!$C$47-Proj_Inputs!$B$47)*G434</f>
        <v>0.15188225</v>
      </c>
      <c r="N434" s="231">
        <f>(1+H434)*(Proj_Inputs!$B$20+J434)/Proj_Inputs!$B$20*((Proj_Inputs!$B$21+I434)*(1-Proj_Inputs!$B$24)*NPV_Pirelli!$B$47+NPV_Pirelli!$B$49)+(1+K434)*NPV_Pirelli!$B$48</f>
        <v>368.40003704366609</v>
      </c>
      <c r="O434" s="231">
        <f>(1+H434)*(Proj_Inputs!$C$20+L434)/Proj_Inputs!$C$20*((Proj_Inputs!$C$21+I434)*(1-Proj_Inputs!$C$24)*NPV_Hankook!$B$47+NPV_Hankook!$B$49)+(1+M434)*NPV_Hankook!$B$48</f>
        <v>-346.78478234198053</v>
      </c>
    </row>
    <row r="435" spans="1:15" x14ac:dyDescent="0.2">
      <c r="A435" s="228">
        <v>411</v>
      </c>
      <c r="B435" s="229">
        <v>0.68633200000000005</v>
      </c>
      <c r="C435" s="229">
        <v>0.99229999999999996</v>
      </c>
      <c r="D435" s="229">
        <v>0.54728900000000003</v>
      </c>
      <c r="E435" s="229">
        <v>0.92954700000000001</v>
      </c>
      <c r="F435" s="229">
        <v>0.85980599999999996</v>
      </c>
      <c r="G435" s="229">
        <v>0.66922899999999996</v>
      </c>
      <c r="H435" s="230">
        <f>Proj_Inputs!$B$44+(Proj_Inputs!$C$44-Proj_Inputs!$B$44)*B435</f>
        <v>3.7266400000000005E-2</v>
      </c>
      <c r="I435" s="230">
        <f>Proj_Inputs!$B$45+(Proj_Inputs!$C$45-Proj_Inputs!$B$45)*C435</f>
        <v>3.9383999999999995E-2</v>
      </c>
      <c r="J435" s="230">
        <f>Proj_Inputs!$B$46+(Proj_Inputs!$C$46-Proj_Inputs!$B$46)*D435</f>
        <v>-4.0542199999999987E-2</v>
      </c>
      <c r="K435" s="230">
        <f>Proj_Inputs!$B$47+(Proj_Inputs!$C$47-Proj_Inputs!$B$47)*E435</f>
        <v>0.18238674999999999</v>
      </c>
      <c r="L435" s="230">
        <f>Proj_Inputs!$B$46+(Proj_Inputs!$C$46-Proj_Inputs!$B$46)*F435</f>
        <v>2.1961200000000014E-2</v>
      </c>
      <c r="M435" s="230">
        <f>Proj_Inputs!$B$47+(Proj_Inputs!$C$47-Proj_Inputs!$B$47)*G435</f>
        <v>0.11730724999999999</v>
      </c>
      <c r="N435" s="231">
        <f>(1+H435)*(Proj_Inputs!$B$20+J435)/Proj_Inputs!$B$20*((Proj_Inputs!$B$21+I435)*(1-Proj_Inputs!$B$24)*NPV_Pirelli!$B$47+NPV_Pirelli!$B$49)+(1+K435)*NPV_Pirelli!$B$48</f>
        <v>491.57741197538849</v>
      </c>
      <c r="O435" s="231">
        <f>(1+H435)*(Proj_Inputs!$C$20+L435)/Proj_Inputs!$C$20*((Proj_Inputs!$C$21+I435)*(1-Proj_Inputs!$C$24)*NPV_Hankook!$B$47+NPV_Hankook!$B$49)+(1+M435)*NPV_Hankook!$B$48</f>
        <v>127.77045765019375</v>
      </c>
    </row>
    <row r="436" spans="1:15" x14ac:dyDescent="0.2">
      <c r="A436" s="228">
        <v>412</v>
      </c>
      <c r="B436" s="229">
        <v>0.72606000000000004</v>
      </c>
      <c r="C436" s="229">
        <v>0.50120500000000001</v>
      </c>
      <c r="D436" s="229">
        <v>0.529084</v>
      </c>
      <c r="E436" s="229">
        <v>7.0363999999999996E-2</v>
      </c>
      <c r="F436" s="229">
        <v>6.7180000000000004E-2</v>
      </c>
      <c r="G436" s="229">
        <v>0.775119</v>
      </c>
      <c r="H436" s="230">
        <f>Proj_Inputs!$B$44+(Proj_Inputs!$C$44-Proj_Inputs!$B$44)*B436</f>
        <v>4.5212000000000002E-2</v>
      </c>
      <c r="I436" s="230">
        <f>Proj_Inputs!$B$45+(Proj_Inputs!$C$45-Proj_Inputs!$B$45)*C436</f>
        <v>9.6400000000003427E-5</v>
      </c>
      <c r="J436" s="230">
        <f>Proj_Inputs!$B$46+(Proj_Inputs!$C$46-Proj_Inputs!$B$46)*D436</f>
        <v>-4.4183199999999992E-2</v>
      </c>
      <c r="K436" s="230">
        <f>Proj_Inputs!$B$47+(Proj_Inputs!$C$47-Proj_Inputs!$B$47)*E436</f>
        <v>-3.2409000000000007E-2</v>
      </c>
      <c r="L436" s="230">
        <f>Proj_Inputs!$B$46+(Proj_Inputs!$C$46-Proj_Inputs!$B$46)*F436</f>
        <v>-0.13656399999999999</v>
      </c>
      <c r="M436" s="230">
        <f>Proj_Inputs!$B$47+(Proj_Inputs!$C$47-Proj_Inputs!$B$47)*G436</f>
        <v>0.14377974999999998</v>
      </c>
      <c r="N436" s="231">
        <f>(1+H436)*(Proj_Inputs!$B$20+J436)/Proj_Inputs!$B$20*((Proj_Inputs!$B$21+I436)*(1-Proj_Inputs!$B$24)*NPV_Pirelli!$B$47+NPV_Pirelli!$B$49)+(1+K436)*NPV_Pirelli!$B$48</f>
        <v>424.18196215961268</v>
      </c>
      <c r="O436" s="231">
        <f>(1+H436)*(Proj_Inputs!$C$20+L436)/Proj_Inputs!$C$20*((Proj_Inputs!$C$21+I436)*(1-Proj_Inputs!$C$24)*NPV_Hankook!$B$47+NPV_Hankook!$B$49)+(1+M436)*NPV_Hankook!$B$48</f>
        <v>-378.142974328685</v>
      </c>
    </row>
    <row r="437" spans="1:15" x14ac:dyDescent="0.2">
      <c r="A437" s="228">
        <v>413</v>
      </c>
      <c r="B437" s="229">
        <v>0.195297</v>
      </c>
      <c r="C437" s="229">
        <v>0.19481100000000001</v>
      </c>
      <c r="D437" s="229">
        <v>0.19827700000000001</v>
      </c>
      <c r="E437" s="229">
        <v>0.64995499999999995</v>
      </c>
      <c r="F437" s="229">
        <v>0.74854200000000004</v>
      </c>
      <c r="G437" s="229">
        <v>0.21152499999999999</v>
      </c>
      <c r="H437" s="230">
        <f>Proj_Inputs!$B$44+(Proj_Inputs!$C$44-Proj_Inputs!$B$44)*B437</f>
        <v>-6.0940600000000004E-2</v>
      </c>
      <c r="I437" s="230">
        <f>Proj_Inputs!$B$45+(Proj_Inputs!$C$45-Proj_Inputs!$B$45)*C437</f>
        <v>-2.4415119999999998E-2</v>
      </c>
      <c r="J437" s="230">
        <f>Proj_Inputs!$B$46+(Proj_Inputs!$C$46-Proj_Inputs!$B$46)*D437</f>
        <v>-0.11034459999999999</v>
      </c>
      <c r="K437" s="230">
        <f>Proj_Inputs!$B$47+(Proj_Inputs!$C$47-Proj_Inputs!$B$47)*E437</f>
        <v>0.11248874999999998</v>
      </c>
      <c r="L437" s="230">
        <f>Proj_Inputs!$B$46+(Proj_Inputs!$C$46-Proj_Inputs!$B$46)*F437</f>
        <v>-2.9159999999997521E-4</v>
      </c>
      <c r="M437" s="230">
        <f>Proj_Inputs!$B$47+(Proj_Inputs!$C$47-Proj_Inputs!$B$47)*G437</f>
        <v>2.8812499999999949E-3</v>
      </c>
      <c r="N437" s="231">
        <f>(1+H437)*(Proj_Inputs!$B$20+J437)/Proj_Inputs!$B$20*((Proj_Inputs!$B$21+I437)*(1-Proj_Inputs!$B$24)*NPV_Pirelli!$B$47+NPV_Pirelli!$B$49)+(1+K437)*NPV_Pirelli!$B$48</f>
        <v>-17.976397986638517</v>
      </c>
      <c r="O437" s="231">
        <f>(1+H437)*(Proj_Inputs!$C$20+L437)/Proj_Inputs!$C$20*((Proj_Inputs!$C$21+I437)*(1-Proj_Inputs!$C$24)*NPV_Hankook!$B$47+NPV_Hankook!$B$49)+(1+M437)*NPV_Hankook!$B$48</f>
        <v>-315.9169218149392</v>
      </c>
    </row>
    <row r="438" spans="1:15" x14ac:dyDescent="0.2">
      <c r="A438" s="228">
        <v>414</v>
      </c>
      <c r="B438" s="229">
        <v>3.6194999999999998E-2</v>
      </c>
      <c r="C438" s="229">
        <v>0.44625599999999999</v>
      </c>
      <c r="D438" s="229">
        <v>0.63743499999999997</v>
      </c>
      <c r="E438" s="229">
        <v>1.6126000000000001E-2</v>
      </c>
      <c r="F438" s="229">
        <v>0.228238</v>
      </c>
      <c r="G438" s="229">
        <v>0.111467</v>
      </c>
      <c r="H438" s="230">
        <f>Proj_Inputs!$B$44+(Proj_Inputs!$C$44-Proj_Inputs!$B$44)*B438</f>
        <v>-9.276100000000001E-2</v>
      </c>
      <c r="I438" s="230">
        <f>Proj_Inputs!$B$45+(Proj_Inputs!$C$45-Proj_Inputs!$B$45)*C438</f>
        <v>-4.2995200000000011E-3</v>
      </c>
      <c r="J438" s="230">
        <f>Proj_Inputs!$B$46+(Proj_Inputs!$C$46-Proj_Inputs!$B$46)*D438</f>
        <v>-2.2513000000000005E-2</v>
      </c>
      <c r="K438" s="230">
        <f>Proj_Inputs!$B$47+(Proj_Inputs!$C$47-Proj_Inputs!$B$47)*E438</f>
        <v>-4.5968500000000002E-2</v>
      </c>
      <c r="L438" s="230">
        <f>Proj_Inputs!$B$46+(Proj_Inputs!$C$46-Proj_Inputs!$B$46)*F438</f>
        <v>-0.10435239999999998</v>
      </c>
      <c r="M438" s="230">
        <f>Proj_Inputs!$B$47+(Proj_Inputs!$C$47-Proj_Inputs!$B$47)*G438</f>
        <v>-2.2133250000000004E-2</v>
      </c>
      <c r="N438" s="231">
        <f>(1+H438)*(Proj_Inputs!$B$20+J438)/Proj_Inputs!$B$20*((Proj_Inputs!$B$21+I438)*(1-Proj_Inputs!$B$24)*NPV_Pirelli!$B$47+NPV_Pirelli!$B$49)+(1+K438)*NPV_Pirelli!$B$48</f>
        <v>280.21824077749375</v>
      </c>
      <c r="O438" s="231">
        <f>(1+H438)*(Proj_Inputs!$C$20+L438)/Proj_Inputs!$C$20*((Proj_Inputs!$C$21+I438)*(1-Proj_Inputs!$C$24)*NPV_Hankook!$B$47+NPV_Hankook!$B$49)+(1+M438)*NPV_Hankook!$B$48</f>
        <v>-300.14136717341125</v>
      </c>
    </row>
    <row r="439" spans="1:15" x14ac:dyDescent="0.2">
      <c r="A439" s="228">
        <v>415</v>
      </c>
      <c r="B439" s="229">
        <v>0.41085700000000003</v>
      </c>
      <c r="C439" s="229">
        <v>0.72905399999999998</v>
      </c>
      <c r="D439" s="229">
        <v>0.48889300000000002</v>
      </c>
      <c r="E439" s="229">
        <v>0.79831700000000005</v>
      </c>
      <c r="F439" s="229">
        <v>0.896644</v>
      </c>
      <c r="G439" s="229">
        <v>0.74169099999999999</v>
      </c>
      <c r="H439" s="230">
        <f>Proj_Inputs!$B$44+(Proj_Inputs!$C$44-Proj_Inputs!$B$44)*B439</f>
        <v>-1.78286E-2</v>
      </c>
      <c r="I439" s="230">
        <f>Proj_Inputs!$B$45+(Proj_Inputs!$C$45-Proj_Inputs!$B$45)*C439</f>
        <v>1.8324319999999998E-2</v>
      </c>
      <c r="J439" s="230">
        <f>Proj_Inputs!$B$46+(Proj_Inputs!$C$46-Proj_Inputs!$B$46)*D439</f>
        <v>-5.2221399999999987E-2</v>
      </c>
      <c r="K439" s="230">
        <f>Proj_Inputs!$B$47+(Proj_Inputs!$C$47-Proj_Inputs!$B$47)*E439</f>
        <v>0.14957925</v>
      </c>
      <c r="L439" s="230">
        <f>Proj_Inputs!$B$46+(Proj_Inputs!$C$46-Proj_Inputs!$B$46)*F439</f>
        <v>2.9328800000000016E-2</v>
      </c>
      <c r="M439" s="230">
        <f>Proj_Inputs!$B$47+(Proj_Inputs!$C$47-Proj_Inputs!$B$47)*G439</f>
        <v>0.13542274999999998</v>
      </c>
      <c r="N439" s="231">
        <f>(1+H439)*(Proj_Inputs!$B$20+J439)/Proj_Inputs!$B$20*((Proj_Inputs!$B$21+I439)*(1-Proj_Inputs!$B$24)*NPV_Pirelli!$B$47+NPV_Pirelli!$B$49)+(1+K439)*NPV_Pirelli!$B$48</f>
        <v>302.96894522533682</v>
      </c>
      <c r="O439" s="231">
        <f>(1+H439)*(Proj_Inputs!$C$20+L439)/Proj_Inputs!$C$20*((Proj_Inputs!$C$21+I439)*(1-Proj_Inputs!$C$24)*NPV_Hankook!$B$47+NPV_Hankook!$B$49)+(1+M439)*NPV_Hankook!$B$48</f>
        <v>-104.69820752341843</v>
      </c>
    </row>
    <row r="440" spans="1:15" x14ac:dyDescent="0.2">
      <c r="A440" s="228">
        <v>416</v>
      </c>
      <c r="B440" s="229">
        <v>0.30949300000000002</v>
      </c>
      <c r="C440" s="229">
        <v>0.99362399999999995</v>
      </c>
      <c r="D440" s="229">
        <v>0.80535599999999996</v>
      </c>
      <c r="E440" s="229">
        <v>0.66220400000000001</v>
      </c>
      <c r="F440" s="229">
        <v>0.206204</v>
      </c>
      <c r="G440" s="229">
        <v>0.116898</v>
      </c>
      <c r="H440" s="230">
        <f>Proj_Inputs!$B$44+(Proj_Inputs!$C$44-Proj_Inputs!$B$44)*B440</f>
        <v>-3.8101400000000001E-2</v>
      </c>
      <c r="I440" s="230">
        <f>Proj_Inputs!$B$45+(Proj_Inputs!$C$45-Proj_Inputs!$B$45)*C440</f>
        <v>3.9489919999999991E-2</v>
      </c>
      <c r="J440" s="230">
        <f>Proj_Inputs!$B$46+(Proj_Inputs!$C$46-Proj_Inputs!$B$46)*D440</f>
        <v>1.1071200000000003E-2</v>
      </c>
      <c r="K440" s="230">
        <f>Proj_Inputs!$B$47+(Proj_Inputs!$C$47-Proj_Inputs!$B$47)*E440</f>
        <v>0.115551</v>
      </c>
      <c r="L440" s="230">
        <f>Proj_Inputs!$B$46+(Proj_Inputs!$C$46-Proj_Inputs!$B$46)*F440</f>
        <v>-0.1087592</v>
      </c>
      <c r="M440" s="230">
        <f>Proj_Inputs!$B$47+(Proj_Inputs!$C$47-Proj_Inputs!$B$47)*G440</f>
        <v>-2.0775500000000002E-2</v>
      </c>
      <c r="N440" s="231">
        <f>(1+H440)*(Proj_Inputs!$B$20+J440)/Proj_Inputs!$B$20*((Proj_Inputs!$B$21+I440)*(1-Proj_Inputs!$B$24)*NPV_Pirelli!$B$47+NPV_Pirelli!$B$49)+(1+K440)*NPV_Pirelli!$B$48</f>
        <v>520.7448637033458</v>
      </c>
      <c r="O440" s="231">
        <f>(1+H440)*(Proj_Inputs!$C$20+L440)/Proj_Inputs!$C$20*((Proj_Inputs!$C$21+I440)*(1-Proj_Inputs!$C$24)*NPV_Hankook!$B$47+NPV_Hankook!$B$49)+(1+M440)*NPV_Hankook!$B$48</f>
        <v>-2.4058152936966053</v>
      </c>
    </row>
    <row r="441" spans="1:15" x14ac:dyDescent="0.2">
      <c r="A441" s="228">
        <v>417</v>
      </c>
      <c r="B441" s="229">
        <v>0.364707</v>
      </c>
      <c r="C441" s="229">
        <v>0.277642</v>
      </c>
      <c r="D441" s="229">
        <v>0.69909399999999999</v>
      </c>
      <c r="E441" s="229">
        <v>0.53877200000000003</v>
      </c>
      <c r="F441" s="229">
        <v>4.0443E-2</v>
      </c>
      <c r="G441" s="229">
        <v>0.106144</v>
      </c>
      <c r="H441" s="230">
        <f>Proj_Inputs!$B$44+(Proj_Inputs!$C$44-Proj_Inputs!$B$44)*B441</f>
        <v>-2.7058600000000002E-2</v>
      </c>
      <c r="I441" s="230">
        <f>Proj_Inputs!$B$45+(Proj_Inputs!$C$45-Proj_Inputs!$B$45)*C441</f>
        <v>-1.7788640000000001E-2</v>
      </c>
      <c r="J441" s="230">
        <f>Proj_Inputs!$B$46+(Proj_Inputs!$C$46-Proj_Inputs!$B$46)*D441</f>
        <v>-1.0181200000000001E-2</v>
      </c>
      <c r="K441" s="230">
        <f>Proj_Inputs!$B$47+(Proj_Inputs!$C$47-Proj_Inputs!$B$47)*E441</f>
        <v>8.4693000000000004E-2</v>
      </c>
      <c r="L441" s="230">
        <f>Proj_Inputs!$B$46+(Proj_Inputs!$C$46-Proj_Inputs!$B$46)*F441</f>
        <v>-0.14191139999999999</v>
      </c>
      <c r="M441" s="230">
        <f>Proj_Inputs!$B$47+(Proj_Inputs!$C$47-Proj_Inputs!$B$47)*G441</f>
        <v>-2.3464000000000002E-2</v>
      </c>
      <c r="N441" s="231">
        <f>(1+H441)*(Proj_Inputs!$B$20+J441)/Proj_Inputs!$B$20*((Proj_Inputs!$B$21+I441)*(1-Proj_Inputs!$B$24)*NPV_Pirelli!$B$47+NPV_Pirelli!$B$49)+(1+K441)*NPV_Pirelli!$B$48</f>
        <v>187.26152146820766</v>
      </c>
      <c r="O441" s="231">
        <f>(1+H441)*(Proj_Inputs!$C$20+L441)/Proj_Inputs!$C$20*((Proj_Inputs!$C$21+I441)*(1-Proj_Inputs!$C$24)*NPV_Hankook!$B$47+NPV_Hankook!$B$49)+(1+M441)*NPV_Hankook!$B$48</f>
        <v>-356.10091140670306</v>
      </c>
    </row>
    <row r="442" spans="1:15" x14ac:dyDescent="0.2">
      <c r="A442" s="228">
        <v>418</v>
      </c>
      <c r="B442" s="229">
        <v>0.83523599999999998</v>
      </c>
      <c r="C442" s="229">
        <v>0.78688000000000002</v>
      </c>
      <c r="D442" s="229">
        <v>0.83797100000000002</v>
      </c>
      <c r="E442" s="229">
        <v>0.62419599999999997</v>
      </c>
      <c r="F442" s="229">
        <v>0.47186899999999998</v>
      </c>
      <c r="G442" s="229">
        <v>7.9293000000000002E-2</v>
      </c>
      <c r="H442" s="230">
        <f>Proj_Inputs!$B$44+(Proj_Inputs!$C$44-Proj_Inputs!$B$44)*B442</f>
        <v>6.7047200000000001E-2</v>
      </c>
      <c r="I442" s="230">
        <f>Proj_Inputs!$B$45+(Proj_Inputs!$C$45-Proj_Inputs!$B$45)*C442</f>
        <v>2.2950400000000003E-2</v>
      </c>
      <c r="J442" s="230">
        <f>Proj_Inputs!$B$46+(Proj_Inputs!$C$46-Proj_Inputs!$B$46)*D442</f>
        <v>1.7594200000000032E-2</v>
      </c>
      <c r="K442" s="230">
        <f>Proj_Inputs!$B$47+(Proj_Inputs!$C$47-Proj_Inputs!$B$47)*E442</f>
        <v>0.10604899999999999</v>
      </c>
      <c r="L442" s="230">
        <f>Proj_Inputs!$B$46+(Proj_Inputs!$C$46-Proj_Inputs!$B$46)*F442</f>
        <v>-5.5626199999999987E-2</v>
      </c>
      <c r="M442" s="230">
        <f>Proj_Inputs!$B$47+(Proj_Inputs!$C$47-Proj_Inputs!$B$47)*G442</f>
        <v>-3.0176750000000002E-2</v>
      </c>
      <c r="N442" s="231">
        <f>(1+H442)*(Proj_Inputs!$B$20+J442)/Proj_Inputs!$B$20*((Proj_Inputs!$B$21+I442)*(1-Proj_Inputs!$B$24)*NPV_Pirelli!$B$47+NPV_Pirelli!$B$49)+(1+K442)*NPV_Pirelli!$B$48</f>
        <v>581.10536599163936</v>
      </c>
      <c r="O442" s="231">
        <f>(1+H442)*(Proj_Inputs!$C$20+L442)/Proj_Inputs!$C$20*((Proj_Inputs!$C$21+I442)*(1-Proj_Inputs!$C$24)*NPV_Hankook!$B$47+NPV_Hankook!$B$49)+(1+M442)*NPV_Hankook!$B$48</f>
        <v>103.99619074644534</v>
      </c>
    </row>
    <row r="443" spans="1:15" x14ac:dyDescent="0.2">
      <c r="A443" s="228">
        <v>419</v>
      </c>
      <c r="B443" s="229">
        <v>0.53051899999999996</v>
      </c>
      <c r="C443" s="229">
        <v>0.66604300000000005</v>
      </c>
      <c r="D443" s="229">
        <v>0.45309899999999997</v>
      </c>
      <c r="E443" s="229">
        <v>0.18765599999999999</v>
      </c>
      <c r="F443" s="229">
        <v>0.54896999999999996</v>
      </c>
      <c r="G443" s="229">
        <v>0.40984599999999999</v>
      </c>
      <c r="H443" s="230">
        <f>Proj_Inputs!$B$44+(Proj_Inputs!$C$44-Proj_Inputs!$B$44)*B443</f>
        <v>6.1037999999999926E-3</v>
      </c>
      <c r="I443" s="230">
        <f>Proj_Inputs!$B$45+(Proj_Inputs!$C$45-Proj_Inputs!$B$45)*C443</f>
        <v>1.3283440000000007E-2</v>
      </c>
      <c r="J443" s="230">
        <f>Proj_Inputs!$B$46+(Proj_Inputs!$C$46-Proj_Inputs!$B$46)*D443</f>
        <v>-5.9380199999999994E-2</v>
      </c>
      <c r="K443" s="230">
        <f>Proj_Inputs!$B$47+(Proj_Inputs!$C$47-Proj_Inputs!$B$47)*E443</f>
        <v>-3.0860000000000054E-3</v>
      </c>
      <c r="L443" s="230">
        <f>Proj_Inputs!$B$46+(Proj_Inputs!$C$46-Proj_Inputs!$B$46)*F443</f>
        <v>-4.0205999999999992E-2</v>
      </c>
      <c r="M443" s="230">
        <f>Proj_Inputs!$B$47+(Proj_Inputs!$C$47-Proj_Inputs!$B$47)*G443</f>
        <v>5.2461499999999994E-2</v>
      </c>
      <c r="N443" s="231">
        <f>(1+H443)*(Proj_Inputs!$B$20+J443)/Proj_Inputs!$B$20*((Proj_Inputs!$B$21+I443)*(1-Proj_Inputs!$B$24)*NPV_Pirelli!$B$47+NPV_Pirelli!$B$49)+(1+K443)*NPV_Pirelli!$B$48</f>
        <v>413.023739696745</v>
      </c>
      <c r="O443" s="231">
        <f>(1+H443)*(Proj_Inputs!$C$20+L443)/Proj_Inputs!$C$20*((Proj_Inputs!$C$21+I443)*(1-Proj_Inputs!$C$24)*NPV_Hankook!$B$47+NPV_Hankook!$B$49)+(1+M443)*NPV_Hankook!$B$48</f>
        <v>-104.97190385626072</v>
      </c>
    </row>
    <row r="444" spans="1:15" x14ac:dyDescent="0.2">
      <c r="A444" s="228">
        <v>420</v>
      </c>
      <c r="B444" s="229">
        <v>0.18914900000000001</v>
      </c>
      <c r="C444" s="229">
        <v>0.99019599999999997</v>
      </c>
      <c r="D444" s="229">
        <v>0.86128199999999999</v>
      </c>
      <c r="E444" s="229">
        <v>0.47524499999999997</v>
      </c>
      <c r="F444" s="229">
        <v>0.32663999999999999</v>
      </c>
      <c r="G444" s="229">
        <v>0.14442199999999999</v>
      </c>
      <c r="H444" s="230">
        <f>Proj_Inputs!$B$44+(Proj_Inputs!$C$44-Proj_Inputs!$B$44)*B444</f>
        <v>-6.2170200000000002E-2</v>
      </c>
      <c r="I444" s="230">
        <f>Proj_Inputs!$B$45+(Proj_Inputs!$C$45-Proj_Inputs!$B$45)*C444</f>
        <v>3.9215679999999996E-2</v>
      </c>
      <c r="J444" s="230">
        <f>Proj_Inputs!$B$46+(Proj_Inputs!$C$46-Proj_Inputs!$B$46)*D444</f>
        <v>2.225640000000001E-2</v>
      </c>
      <c r="K444" s="230">
        <f>Proj_Inputs!$B$47+(Proj_Inputs!$C$47-Proj_Inputs!$B$47)*E444</f>
        <v>6.881124999999999E-2</v>
      </c>
      <c r="L444" s="230">
        <f>Proj_Inputs!$B$46+(Proj_Inputs!$C$46-Proj_Inputs!$B$46)*F444</f>
        <v>-8.4671999999999997E-2</v>
      </c>
      <c r="M444" s="230">
        <f>Proj_Inputs!$B$47+(Proj_Inputs!$C$47-Proj_Inputs!$B$47)*G444</f>
        <v>-1.3894500000000004E-2</v>
      </c>
      <c r="N444" s="231">
        <f>(1+H444)*(Proj_Inputs!$B$20+J444)/Proj_Inputs!$B$20*((Proj_Inputs!$B$21+I444)*(1-Proj_Inputs!$B$24)*NPV_Pirelli!$B$47+NPV_Pirelli!$B$49)+(1+K444)*NPV_Pirelli!$B$48</f>
        <v>537.6859023510541</v>
      </c>
      <c r="O444" s="231">
        <f>(1+H444)*(Proj_Inputs!$C$20+L444)/Proj_Inputs!$C$20*((Proj_Inputs!$C$21+I444)*(1-Proj_Inputs!$C$24)*NPV_Hankook!$B$47+NPV_Hankook!$B$49)+(1+M444)*NPV_Hankook!$B$48</f>
        <v>-6.711923563442042</v>
      </c>
    </row>
    <row r="445" spans="1:15" x14ac:dyDescent="0.2">
      <c r="A445" s="228">
        <v>421</v>
      </c>
      <c r="B445" s="229">
        <v>0.38464799999999999</v>
      </c>
      <c r="C445" s="229">
        <v>0.36876100000000001</v>
      </c>
      <c r="D445" s="229">
        <v>0.68669999999999998</v>
      </c>
      <c r="E445" s="229">
        <v>0.32964100000000002</v>
      </c>
      <c r="F445" s="229">
        <v>0.88492700000000002</v>
      </c>
      <c r="G445" s="229">
        <v>0.51576299999999997</v>
      </c>
      <c r="H445" s="230">
        <f>Proj_Inputs!$B$44+(Proj_Inputs!$C$44-Proj_Inputs!$B$44)*B445</f>
        <v>-2.3070400000000005E-2</v>
      </c>
      <c r="I445" s="230">
        <f>Proj_Inputs!$B$45+(Proj_Inputs!$C$45-Proj_Inputs!$B$45)*C445</f>
        <v>-1.0499120000000001E-2</v>
      </c>
      <c r="J445" s="230">
        <f>Proj_Inputs!$B$46+(Proj_Inputs!$C$46-Proj_Inputs!$B$46)*D445</f>
        <v>-1.2660000000000005E-2</v>
      </c>
      <c r="K445" s="230">
        <f>Proj_Inputs!$B$47+(Proj_Inputs!$C$47-Proj_Inputs!$B$47)*E445</f>
        <v>3.2410250000000002E-2</v>
      </c>
      <c r="L445" s="230">
        <f>Proj_Inputs!$B$46+(Proj_Inputs!$C$46-Proj_Inputs!$B$46)*F445</f>
        <v>2.698540000000002E-2</v>
      </c>
      <c r="M445" s="230">
        <f>Proj_Inputs!$B$47+(Proj_Inputs!$C$47-Proj_Inputs!$B$47)*G445</f>
        <v>7.894074999999999E-2</v>
      </c>
      <c r="N445" s="231">
        <f>(1+H445)*(Proj_Inputs!$B$20+J445)/Proj_Inputs!$B$20*((Proj_Inputs!$B$21+I445)*(1-Proj_Inputs!$B$24)*NPV_Pirelli!$B$47+NPV_Pirelli!$B$49)+(1+K445)*NPV_Pirelli!$B$48</f>
        <v>273.26995297355279</v>
      </c>
      <c r="O445" s="231">
        <f>(1+H445)*(Proj_Inputs!$C$20+L445)/Proj_Inputs!$C$20*((Proj_Inputs!$C$21+I445)*(1-Proj_Inputs!$C$24)*NPV_Hankook!$B$47+NPV_Hankook!$B$49)+(1+M445)*NPV_Hankook!$B$48</f>
        <v>-247.29416975060485</v>
      </c>
    </row>
    <row r="446" spans="1:15" x14ac:dyDescent="0.2">
      <c r="A446" s="228">
        <v>422</v>
      </c>
      <c r="B446" s="229">
        <v>0.49580099999999999</v>
      </c>
      <c r="C446" s="229">
        <v>0.120507</v>
      </c>
      <c r="D446" s="229">
        <v>0.73705299999999996</v>
      </c>
      <c r="E446" s="229">
        <v>0.50267300000000004</v>
      </c>
      <c r="F446" s="229">
        <v>0.38675300000000001</v>
      </c>
      <c r="G446" s="229">
        <v>0.42017599999999999</v>
      </c>
      <c r="H446" s="230">
        <f>Proj_Inputs!$B$44+(Proj_Inputs!$C$44-Proj_Inputs!$B$44)*B446</f>
        <v>-8.3980000000000166E-4</v>
      </c>
      <c r="I446" s="230">
        <f>Proj_Inputs!$B$45+(Proj_Inputs!$C$45-Proj_Inputs!$B$45)*C446</f>
        <v>-3.0359440000000001E-2</v>
      </c>
      <c r="J446" s="230">
        <f>Proj_Inputs!$B$46+(Proj_Inputs!$C$46-Proj_Inputs!$B$46)*D446</f>
        <v>-2.5893999999999917E-3</v>
      </c>
      <c r="K446" s="230">
        <f>Proj_Inputs!$B$47+(Proj_Inputs!$C$47-Proj_Inputs!$B$47)*E446</f>
        <v>7.5668250000000006E-2</v>
      </c>
      <c r="L446" s="230">
        <f>Proj_Inputs!$B$46+(Proj_Inputs!$C$46-Proj_Inputs!$B$46)*F446</f>
        <v>-7.2649399999999989E-2</v>
      </c>
      <c r="M446" s="230">
        <f>Proj_Inputs!$B$47+(Proj_Inputs!$C$47-Proj_Inputs!$B$47)*G446</f>
        <v>5.5043999999999996E-2</v>
      </c>
      <c r="N446" s="231">
        <f>(1+H446)*(Proj_Inputs!$B$20+J446)/Proj_Inputs!$B$20*((Proj_Inputs!$B$21+I446)*(1-Proj_Inputs!$B$24)*NPV_Pirelli!$B$47+NPV_Pirelli!$B$49)+(1+K446)*NPV_Pirelli!$B$48</f>
        <v>154.12283765038683</v>
      </c>
      <c r="O446" s="231">
        <f>(1+H446)*(Proj_Inputs!$C$20+L446)/Proj_Inputs!$C$20*((Proj_Inputs!$C$21+I446)*(1-Proj_Inputs!$C$24)*NPV_Hankook!$B$47+NPV_Hankook!$B$49)+(1+M446)*NPV_Hankook!$B$48</f>
        <v>-432.36614203975375</v>
      </c>
    </row>
    <row r="447" spans="1:15" x14ac:dyDescent="0.2">
      <c r="A447" s="228">
        <v>423</v>
      </c>
      <c r="B447" s="229">
        <v>0.77957100000000001</v>
      </c>
      <c r="C447" s="229">
        <v>0.276312</v>
      </c>
      <c r="D447" s="229">
        <v>0.59921500000000005</v>
      </c>
      <c r="E447" s="229">
        <v>5.8844E-2</v>
      </c>
      <c r="F447" s="229">
        <v>0.80760100000000001</v>
      </c>
      <c r="G447" s="229">
        <v>0.55278099999999997</v>
      </c>
      <c r="H447" s="230">
        <f>Proj_Inputs!$B$44+(Proj_Inputs!$C$44-Proj_Inputs!$B$44)*B447</f>
        <v>5.5914199999999997E-2</v>
      </c>
      <c r="I447" s="230">
        <f>Proj_Inputs!$B$45+(Proj_Inputs!$C$45-Proj_Inputs!$B$45)*C447</f>
        <v>-1.7895040000000001E-2</v>
      </c>
      <c r="J447" s="230">
        <f>Proj_Inputs!$B$46+(Proj_Inputs!$C$46-Proj_Inputs!$B$46)*D447</f>
        <v>-3.0156999999999975E-2</v>
      </c>
      <c r="K447" s="230">
        <f>Proj_Inputs!$B$47+(Proj_Inputs!$C$47-Proj_Inputs!$B$47)*E447</f>
        <v>-3.5289000000000001E-2</v>
      </c>
      <c r="L447" s="230">
        <f>Proj_Inputs!$B$46+(Proj_Inputs!$C$46-Proj_Inputs!$B$46)*F447</f>
        <v>1.1520200000000008E-2</v>
      </c>
      <c r="M447" s="230">
        <f>Proj_Inputs!$B$47+(Proj_Inputs!$C$47-Proj_Inputs!$B$47)*G447</f>
        <v>8.8195249999999989E-2</v>
      </c>
      <c r="N447" s="231">
        <f>(1+H447)*(Proj_Inputs!$B$20+J447)/Proj_Inputs!$B$20*((Proj_Inputs!$B$21+I447)*(1-Proj_Inputs!$B$24)*NPV_Pirelli!$B$47+NPV_Pirelli!$B$49)+(1+K447)*NPV_Pirelli!$B$48</f>
        <v>344.6755783798252</v>
      </c>
      <c r="O447" s="231">
        <f>(1+H447)*(Proj_Inputs!$C$20+L447)/Proj_Inputs!$C$20*((Proj_Inputs!$C$21+I447)*(1-Proj_Inputs!$C$24)*NPV_Hankook!$B$47+NPV_Hankook!$B$49)+(1+M447)*NPV_Hankook!$B$48</f>
        <v>-248.9541492342197</v>
      </c>
    </row>
    <row r="448" spans="1:15" x14ac:dyDescent="0.2">
      <c r="A448" s="228">
        <v>424</v>
      </c>
      <c r="B448" s="229">
        <v>0.23669899999999999</v>
      </c>
      <c r="C448" s="229">
        <v>0.43081199999999997</v>
      </c>
      <c r="D448" s="229">
        <v>0.45433200000000001</v>
      </c>
      <c r="E448" s="229">
        <v>0.86117999999999995</v>
      </c>
      <c r="F448" s="229">
        <v>4.9554000000000001E-2</v>
      </c>
      <c r="G448" s="229">
        <v>0.51286500000000002</v>
      </c>
      <c r="H448" s="230">
        <f>Proj_Inputs!$B$44+(Proj_Inputs!$C$44-Proj_Inputs!$B$44)*B448</f>
        <v>-5.2660200000000004E-2</v>
      </c>
      <c r="I448" s="230">
        <f>Proj_Inputs!$B$45+(Proj_Inputs!$C$45-Proj_Inputs!$B$45)*C448</f>
        <v>-5.535040000000005E-3</v>
      </c>
      <c r="J448" s="230">
        <f>Proj_Inputs!$B$46+(Proj_Inputs!$C$46-Proj_Inputs!$B$46)*D448</f>
        <v>-5.9133599999999981E-2</v>
      </c>
      <c r="K448" s="230">
        <f>Proj_Inputs!$B$47+(Proj_Inputs!$C$47-Proj_Inputs!$B$47)*E448</f>
        <v>0.16529499999999997</v>
      </c>
      <c r="L448" s="230">
        <f>Proj_Inputs!$B$46+(Proj_Inputs!$C$46-Proj_Inputs!$B$46)*F448</f>
        <v>-0.1400892</v>
      </c>
      <c r="M448" s="230">
        <f>Proj_Inputs!$B$47+(Proj_Inputs!$C$47-Proj_Inputs!$B$47)*G448</f>
        <v>7.8216250000000001E-2</v>
      </c>
      <c r="N448" s="231">
        <f>(1+H448)*(Proj_Inputs!$B$20+J448)/Proj_Inputs!$B$20*((Proj_Inputs!$B$21+I448)*(1-Proj_Inputs!$B$24)*NPV_Pirelli!$B$47+NPV_Pirelli!$B$49)+(1+K448)*NPV_Pirelli!$B$48</f>
        <v>107.5468922203994</v>
      </c>
      <c r="O448" s="231">
        <f>(1+H448)*(Proj_Inputs!$C$20+L448)/Proj_Inputs!$C$20*((Proj_Inputs!$C$21+I448)*(1-Proj_Inputs!$C$24)*NPV_Hankook!$B$47+NPV_Hankook!$B$49)+(1+M448)*NPV_Hankook!$B$48</f>
        <v>-425.91226012590209</v>
      </c>
    </row>
    <row r="449" spans="1:15" x14ac:dyDescent="0.2">
      <c r="A449" s="228">
        <v>425</v>
      </c>
      <c r="B449" s="229">
        <v>0.95867999999999998</v>
      </c>
      <c r="C449" s="229">
        <v>0.97579199999999999</v>
      </c>
      <c r="D449" s="229">
        <v>0.50352200000000003</v>
      </c>
      <c r="E449" s="229">
        <v>0.16205700000000001</v>
      </c>
      <c r="F449" s="229">
        <v>0.81284100000000004</v>
      </c>
      <c r="G449" s="229">
        <v>0.104042</v>
      </c>
      <c r="H449" s="230">
        <f>Proj_Inputs!$B$44+(Proj_Inputs!$C$44-Proj_Inputs!$B$44)*B449</f>
        <v>9.1736000000000012E-2</v>
      </c>
      <c r="I449" s="230">
        <f>Proj_Inputs!$B$45+(Proj_Inputs!$C$45-Proj_Inputs!$B$45)*C449</f>
        <v>3.8063359999999997E-2</v>
      </c>
      <c r="J449" s="230">
        <f>Proj_Inputs!$B$46+(Proj_Inputs!$C$46-Proj_Inputs!$B$46)*D449</f>
        <v>-4.9295599999999981E-2</v>
      </c>
      <c r="K449" s="230">
        <f>Proj_Inputs!$B$47+(Proj_Inputs!$C$47-Proj_Inputs!$B$47)*E449</f>
        <v>-9.4857500000000011E-3</v>
      </c>
      <c r="L449" s="230">
        <f>Proj_Inputs!$B$46+(Proj_Inputs!$C$46-Proj_Inputs!$B$46)*F449</f>
        <v>1.2568200000000029E-2</v>
      </c>
      <c r="M449" s="230">
        <f>Proj_Inputs!$B$47+(Proj_Inputs!$C$47-Proj_Inputs!$B$47)*G449</f>
        <v>-2.3989500000000004E-2</v>
      </c>
      <c r="N449" s="231">
        <f>(1+H449)*(Proj_Inputs!$B$20+J449)/Proj_Inputs!$B$20*((Proj_Inputs!$B$21+I449)*(1-Proj_Inputs!$B$24)*NPV_Pirelli!$B$47+NPV_Pirelli!$B$49)+(1+K449)*NPV_Pirelli!$B$48</f>
        <v>693.91038726409568</v>
      </c>
      <c r="O449" s="231">
        <f>(1+H449)*(Proj_Inputs!$C$20+L449)/Proj_Inputs!$C$20*((Proj_Inputs!$C$21+I449)*(1-Proj_Inputs!$C$24)*NPV_Hankook!$B$47+NPV_Hankook!$B$49)+(1+M449)*NPV_Hankook!$B$48</f>
        <v>341.77952873531081</v>
      </c>
    </row>
    <row r="450" spans="1:15" x14ac:dyDescent="0.2">
      <c r="A450" s="228">
        <v>426</v>
      </c>
      <c r="B450" s="229">
        <v>0.570295</v>
      </c>
      <c r="C450" s="229">
        <v>0.69331500000000001</v>
      </c>
      <c r="D450" s="229">
        <v>0.238867</v>
      </c>
      <c r="E450" s="229">
        <v>0.71019100000000002</v>
      </c>
      <c r="F450" s="229">
        <v>0.95358900000000002</v>
      </c>
      <c r="G450" s="229">
        <v>0.742641</v>
      </c>
      <c r="H450" s="230">
        <f>Proj_Inputs!$B$44+(Proj_Inputs!$C$44-Proj_Inputs!$B$44)*B450</f>
        <v>1.4059000000000002E-2</v>
      </c>
      <c r="I450" s="230">
        <f>Proj_Inputs!$B$45+(Proj_Inputs!$C$45-Proj_Inputs!$B$45)*C450</f>
        <v>1.5465199999999998E-2</v>
      </c>
      <c r="J450" s="230">
        <f>Proj_Inputs!$B$46+(Proj_Inputs!$C$46-Proj_Inputs!$B$46)*D450</f>
        <v>-0.1022266</v>
      </c>
      <c r="K450" s="230">
        <f>Proj_Inputs!$B$47+(Proj_Inputs!$C$47-Proj_Inputs!$B$47)*E450</f>
        <v>0.12754775000000002</v>
      </c>
      <c r="L450" s="230">
        <f>Proj_Inputs!$B$46+(Proj_Inputs!$C$46-Proj_Inputs!$B$46)*F450</f>
        <v>4.0717800000000026E-2</v>
      </c>
      <c r="M450" s="230">
        <f>Proj_Inputs!$B$47+(Proj_Inputs!$C$47-Proj_Inputs!$B$47)*G450</f>
        <v>0.13566024999999998</v>
      </c>
      <c r="N450" s="231">
        <f>(1+H450)*(Proj_Inputs!$B$20+J450)/Proj_Inputs!$B$20*((Proj_Inputs!$B$21+I450)*(1-Proj_Inputs!$B$24)*NPV_Pirelli!$B$47+NPV_Pirelli!$B$49)+(1+K450)*NPV_Pirelli!$B$48</f>
        <v>270.05748636127623</v>
      </c>
      <c r="O450" s="231">
        <f>(1+H450)*(Proj_Inputs!$C$20+L450)/Proj_Inputs!$C$20*((Proj_Inputs!$C$21+I450)*(1-Proj_Inputs!$C$24)*NPV_Hankook!$B$47+NPV_Hankook!$B$49)+(1+M450)*NPV_Hankook!$B$48</f>
        <v>-70.871134130505652</v>
      </c>
    </row>
    <row r="451" spans="1:15" x14ac:dyDescent="0.2">
      <c r="A451" s="228">
        <v>427</v>
      </c>
      <c r="B451" s="229">
        <v>0.23704800000000001</v>
      </c>
      <c r="C451" s="229">
        <v>0.84818499999999997</v>
      </c>
      <c r="D451" s="229">
        <v>0.49476799999999999</v>
      </c>
      <c r="E451" s="229">
        <v>0.86760499999999996</v>
      </c>
      <c r="F451" s="229">
        <v>0.495533</v>
      </c>
      <c r="G451" s="229">
        <v>0.61919599999999997</v>
      </c>
      <c r="H451" s="230">
        <f>Proj_Inputs!$B$44+(Proj_Inputs!$C$44-Proj_Inputs!$B$44)*B451</f>
        <v>-5.2590400000000002E-2</v>
      </c>
      <c r="I451" s="230">
        <f>Proj_Inputs!$B$45+(Proj_Inputs!$C$45-Proj_Inputs!$B$45)*C451</f>
        <v>2.7854799999999992E-2</v>
      </c>
      <c r="J451" s="230">
        <f>Proj_Inputs!$B$46+(Proj_Inputs!$C$46-Proj_Inputs!$B$46)*D451</f>
        <v>-5.1046399999999992E-2</v>
      </c>
      <c r="K451" s="230">
        <f>Proj_Inputs!$B$47+(Proj_Inputs!$C$47-Proj_Inputs!$B$47)*E451</f>
        <v>0.16690125</v>
      </c>
      <c r="L451" s="230">
        <f>Proj_Inputs!$B$46+(Proj_Inputs!$C$46-Proj_Inputs!$B$46)*F451</f>
        <v>-5.0893399999999991E-2</v>
      </c>
      <c r="M451" s="230">
        <f>Proj_Inputs!$B$47+(Proj_Inputs!$C$47-Proj_Inputs!$B$47)*G451</f>
        <v>0.10479899999999999</v>
      </c>
      <c r="N451" s="231">
        <f>(1+H451)*(Proj_Inputs!$B$20+J451)/Proj_Inputs!$B$20*((Proj_Inputs!$B$21+I451)*(1-Proj_Inputs!$B$24)*NPV_Pirelli!$B$47+NPV_Pirelli!$B$49)+(1+K451)*NPV_Pirelli!$B$48</f>
        <v>300.82007910027949</v>
      </c>
      <c r="O451" s="231">
        <f>(1+H451)*(Proj_Inputs!$C$20+L451)/Proj_Inputs!$C$20*((Proj_Inputs!$C$21+I451)*(1-Proj_Inputs!$C$24)*NPV_Hankook!$B$47+NPV_Hankook!$B$49)+(1+M451)*NPV_Hankook!$B$48</f>
        <v>-155.00180249887717</v>
      </c>
    </row>
    <row r="452" spans="1:15" x14ac:dyDescent="0.2">
      <c r="A452" s="228">
        <v>428</v>
      </c>
      <c r="B452" s="229">
        <v>0.81957800000000003</v>
      </c>
      <c r="C452" s="229">
        <v>0.37046099999999998</v>
      </c>
      <c r="D452" s="229">
        <v>0.19414500000000001</v>
      </c>
      <c r="E452" s="229">
        <v>0.321959</v>
      </c>
      <c r="F452" s="229">
        <v>0.64649999999999996</v>
      </c>
      <c r="G452" s="229">
        <v>3.0924E-2</v>
      </c>
      <c r="H452" s="230">
        <f>Proj_Inputs!$B$44+(Proj_Inputs!$C$44-Proj_Inputs!$B$44)*B452</f>
        <v>6.3915600000000017E-2</v>
      </c>
      <c r="I452" s="230">
        <f>Proj_Inputs!$B$45+(Proj_Inputs!$C$45-Proj_Inputs!$B$45)*C452</f>
        <v>-1.036312E-2</v>
      </c>
      <c r="J452" s="230">
        <f>Proj_Inputs!$B$46+(Proj_Inputs!$C$46-Proj_Inputs!$B$46)*D452</f>
        <v>-0.11117099999999999</v>
      </c>
      <c r="K452" s="230">
        <f>Proj_Inputs!$B$47+(Proj_Inputs!$C$47-Proj_Inputs!$B$47)*E452</f>
        <v>3.0489749999999996E-2</v>
      </c>
      <c r="L452" s="230">
        <f>Proj_Inputs!$B$46+(Proj_Inputs!$C$46-Proj_Inputs!$B$46)*F452</f>
        <v>-2.0699999999999996E-2</v>
      </c>
      <c r="M452" s="230">
        <f>Proj_Inputs!$B$47+(Proj_Inputs!$C$47-Proj_Inputs!$B$47)*G452</f>
        <v>-4.2269000000000001E-2</v>
      </c>
      <c r="N452" s="231">
        <f>(1+H452)*(Proj_Inputs!$B$20+J452)/Proj_Inputs!$B$20*((Proj_Inputs!$B$21+I452)*(1-Proj_Inputs!$B$24)*NPV_Pirelli!$B$47+NPV_Pirelli!$B$49)+(1+K452)*NPV_Pirelli!$B$48</f>
        <v>240.92778497673874</v>
      </c>
      <c r="O452" s="231">
        <f>(1+H452)*(Proj_Inputs!$C$20+L452)/Proj_Inputs!$C$20*((Proj_Inputs!$C$21+I452)*(1-Proj_Inputs!$C$24)*NPV_Hankook!$B$47+NPV_Hankook!$B$49)+(1+M452)*NPV_Hankook!$B$48</f>
        <v>-72.043689892019984</v>
      </c>
    </row>
    <row r="453" spans="1:15" x14ac:dyDescent="0.2">
      <c r="A453" s="228">
        <v>429</v>
      </c>
      <c r="B453" s="229">
        <v>0.98947200000000002</v>
      </c>
      <c r="C453" s="229">
        <v>0.61260000000000003</v>
      </c>
      <c r="D453" s="229">
        <v>0.18539800000000001</v>
      </c>
      <c r="E453" s="229">
        <v>0.137906</v>
      </c>
      <c r="F453" s="229">
        <v>0.67061599999999999</v>
      </c>
      <c r="G453" s="229">
        <v>0.38900299999999999</v>
      </c>
      <c r="H453" s="230">
        <f>Proj_Inputs!$B$44+(Proj_Inputs!$C$44-Proj_Inputs!$B$44)*B453</f>
        <v>9.789440000000002E-2</v>
      </c>
      <c r="I453" s="230">
        <f>Proj_Inputs!$B$45+(Proj_Inputs!$C$45-Proj_Inputs!$B$45)*C453</f>
        <v>9.0080000000000021E-3</v>
      </c>
      <c r="J453" s="230">
        <f>Proj_Inputs!$B$46+(Proj_Inputs!$C$46-Proj_Inputs!$B$46)*D453</f>
        <v>-0.11292039999999999</v>
      </c>
      <c r="K453" s="230">
        <f>Proj_Inputs!$B$47+(Proj_Inputs!$C$47-Proj_Inputs!$B$47)*E453</f>
        <v>-1.5523500000000003E-2</v>
      </c>
      <c r="L453" s="230">
        <f>Proj_Inputs!$B$46+(Proj_Inputs!$C$46-Proj_Inputs!$B$46)*F453</f>
        <v>-1.5876799999999996E-2</v>
      </c>
      <c r="M453" s="230">
        <f>Proj_Inputs!$B$47+(Proj_Inputs!$C$47-Proj_Inputs!$B$47)*G453</f>
        <v>4.7250749999999994E-2</v>
      </c>
      <c r="N453" s="231">
        <f>(1+H453)*(Proj_Inputs!$B$20+J453)/Proj_Inputs!$B$20*((Proj_Inputs!$B$21+I453)*(1-Proj_Inputs!$B$24)*NPV_Pirelli!$B$47+NPV_Pirelli!$B$49)+(1+K453)*NPV_Pirelli!$B$48</f>
        <v>423.48916851446961</v>
      </c>
      <c r="O453" s="231">
        <f>(1+H453)*(Proj_Inputs!$C$20+L453)/Proj_Inputs!$C$20*((Proj_Inputs!$C$21+I453)*(1-Proj_Inputs!$C$24)*NPV_Hankook!$B$47+NPV_Hankook!$B$49)+(1+M453)*NPV_Hankook!$B$48</f>
        <v>6.1762461346713735</v>
      </c>
    </row>
    <row r="454" spans="1:15" x14ac:dyDescent="0.2">
      <c r="A454" s="228">
        <v>430</v>
      </c>
      <c r="B454" s="229">
        <v>0.75974399999999997</v>
      </c>
      <c r="C454" s="229">
        <v>0.24618599999999999</v>
      </c>
      <c r="D454" s="229">
        <v>0.97615300000000005</v>
      </c>
      <c r="E454" s="229">
        <v>0.70900200000000002</v>
      </c>
      <c r="F454" s="229">
        <v>0.39659699999999998</v>
      </c>
      <c r="G454" s="229">
        <v>0.54973099999999997</v>
      </c>
      <c r="H454" s="230">
        <f>Proj_Inputs!$B$44+(Proj_Inputs!$C$44-Proj_Inputs!$B$44)*B454</f>
        <v>5.1948799999999989E-2</v>
      </c>
      <c r="I454" s="230">
        <f>Proj_Inputs!$B$45+(Proj_Inputs!$C$45-Proj_Inputs!$B$45)*C454</f>
        <v>-2.0305120000000003E-2</v>
      </c>
      <c r="J454" s="230">
        <f>Proj_Inputs!$B$46+(Proj_Inputs!$C$46-Proj_Inputs!$B$46)*D454</f>
        <v>4.5230600000000037E-2</v>
      </c>
      <c r="K454" s="230">
        <f>Proj_Inputs!$B$47+(Proj_Inputs!$C$47-Proj_Inputs!$B$47)*E454</f>
        <v>0.12725049999999999</v>
      </c>
      <c r="L454" s="230">
        <f>Proj_Inputs!$B$46+(Proj_Inputs!$C$46-Proj_Inputs!$B$46)*F454</f>
        <v>-7.0680599999999996E-2</v>
      </c>
      <c r="M454" s="230">
        <f>Proj_Inputs!$B$47+(Proj_Inputs!$C$47-Proj_Inputs!$B$47)*G454</f>
        <v>8.743274999999999E-2</v>
      </c>
      <c r="N454" s="231">
        <f>(1+H454)*(Proj_Inputs!$B$20+J454)/Proj_Inputs!$B$20*((Proj_Inputs!$B$21+I454)*(1-Proj_Inputs!$B$24)*NPV_Pirelli!$B$47+NPV_Pirelli!$B$49)+(1+K454)*NPV_Pirelli!$B$48</f>
        <v>291.34153727262969</v>
      </c>
      <c r="O454" s="231">
        <f>(1+H454)*(Proj_Inputs!$C$20+L454)/Proj_Inputs!$C$20*((Proj_Inputs!$C$21+I454)*(1-Proj_Inputs!$C$24)*NPV_Hankook!$B$47+NPV_Hankook!$B$49)+(1+M454)*NPV_Hankook!$B$48</f>
        <v>-359.26057503068103</v>
      </c>
    </row>
    <row r="455" spans="1:15" x14ac:dyDescent="0.2">
      <c r="A455" s="228">
        <v>431</v>
      </c>
      <c r="B455" s="229">
        <v>0.55141200000000001</v>
      </c>
      <c r="C455" s="229">
        <v>0.52070000000000005</v>
      </c>
      <c r="D455" s="229">
        <v>0.64868499999999996</v>
      </c>
      <c r="E455" s="229">
        <v>0.73475199999999996</v>
      </c>
      <c r="F455" s="229">
        <v>0.66523699999999997</v>
      </c>
      <c r="G455" s="229">
        <v>0.25268400000000002</v>
      </c>
      <c r="H455" s="230">
        <f>Proj_Inputs!$B$44+(Proj_Inputs!$C$44-Proj_Inputs!$B$44)*B455</f>
        <v>1.0282399999999997E-2</v>
      </c>
      <c r="I455" s="230">
        <f>Proj_Inputs!$B$45+(Proj_Inputs!$C$45-Proj_Inputs!$B$45)*C455</f>
        <v>1.6560000000000047E-3</v>
      </c>
      <c r="J455" s="230">
        <f>Proj_Inputs!$B$46+(Proj_Inputs!$C$46-Proj_Inputs!$B$46)*D455</f>
        <v>-2.0263000000000003E-2</v>
      </c>
      <c r="K455" s="230">
        <f>Proj_Inputs!$B$47+(Proj_Inputs!$C$47-Proj_Inputs!$B$47)*E455</f>
        <v>0.13368799999999997</v>
      </c>
      <c r="L455" s="230">
        <f>Proj_Inputs!$B$46+(Proj_Inputs!$C$46-Proj_Inputs!$B$46)*F455</f>
        <v>-1.6952599999999984E-2</v>
      </c>
      <c r="M455" s="230">
        <f>Proj_Inputs!$B$47+(Proj_Inputs!$C$47-Proj_Inputs!$B$47)*G455</f>
        <v>1.3171000000000002E-2</v>
      </c>
      <c r="N455" s="231">
        <f>(1+H455)*(Proj_Inputs!$B$20+J455)/Proj_Inputs!$B$20*((Proj_Inputs!$B$21+I455)*(1-Proj_Inputs!$B$24)*NPV_Pirelli!$B$47+NPV_Pirelli!$B$49)+(1+K455)*NPV_Pirelli!$B$48</f>
        <v>295.16755472844636</v>
      </c>
      <c r="O455" s="231">
        <f>(1+H455)*(Proj_Inputs!$C$20+L455)/Proj_Inputs!$C$20*((Proj_Inputs!$C$21+I455)*(1-Proj_Inputs!$C$24)*NPV_Hankook!$B$47+NPV_Hankook!$B$49)+(1+M455)*NPV_Hankook!$B$48</f>
        <v>-103.20454675354563</v>
      </c>
    </row>
    <row r="456" spans="1:15" x14ac:dyDescent="0.2">
      <c r="A456" s="228">
        <v>432</v>
      </c>
      <c r="B456" s="229">
        <v>0.50592599999999999</v>
      </c>
      <c r="C456" s="229">
        <v>4.9699999999999996E-3</v>
      </c>
      <c r="D456" s="229">
        <v>0.178428</v>
      </c>
      <c r="E456" s="229">
        <v>0.28655999999999998</v>
      </c>
      <c r="F456" s="229">
        <v>0.40451599999999999</v>
      </c>
      <c r="G456" s="229">
        <v>0.79926299999999995</v>
      </c>
      <c r="H456" s="230">
        <f>Proj_Inputs!$B$44+(Proj_Inputs!$C$44-Proj_Inputs!$B$44)*B456</f>
        <v>1.1851999999999974E-3</v>
      </c>
      <c r="I456" s="230">
        <f>Proj_Inputs!$B$45+(Proj_Inputs!$C$45-Proj_Inputs!$B$45)*C456</f>
        <v>-3.9602400000000003E-2</v>
      </c>
      <c r="J456" s="230">
        <f>Proj_Inputs!$B$46+(Proj_Inputs!$C$46-Proj_Inputs!$B$46)*D456</f>
        <v>-0.11431439999999998</v>
      </c>
      <c r="K456" s="230">
        <f>Proj_Inputs!$B$47+(Proj_Inputs!$C$47-Proj_Inputs!$B$47)*E456</f>
        <v>2.1639999999999993E-2</v>
      </c>
      <c r="L456" s="230">
        <f>Proj_Inputs!$B$46+(Proj_Inputs!$C$46-Proj_Inputs!$B$46)*F456</f>
        <v>-6.9096799999999986E-2</v>
      </c>
      <c r="M456" s="230">
        <f>Proj_Inputs!$B$47+(Proj_Inputs!$C$47-Proj_Inputs!$B$47)*G456</f>
        <v>0.14981574999999997</v>
      </c>
      <c r="N456" s="231">
        <f>(1+H456)*(Proj_Inputs!$B$20+J456)/Proj_Inputs!$B$20*((Proj_Inputs!$B$21+I456)*(1-Proj_Inputs!$B$24)*NPV_Pirelli!$B$47+NPV_Pirelli!$B$49)+(1+K456)*NPV_Pirelli!$B$48</f>
        <v>23.757326995925837</v>
      </c>
      <c r="O456" s="231">
        <f>(1+H456)*(Proj_Inputs!$C$20+L456)/Proj_Inputs!$C$20*((Proj_Inputs!$C$21+I456)*(1-Proj_Inputs!$C$24)*NPV_Hankook!$B$47+NPV_Hankook!$B$49)+(1+M456)*NPV_Hankook!$B$48</f>
        <v>-596.13291225066962</v>
      </c>
    </row>
    <row r="457" spans="1:15" x14ac:dyDescent="0.2">
      <c r="A457" s="228">
        <v>433</v>
      </c>
      <c r="B457" s="229">
        <v>0.300008</v>
      </c>
      <c r="C457" s="229">
        <v>0.91010599999999997</v>
      </c>
      <c r="D457" s="229">
        <v>0.567577</v>
      </c>
      <c r="E457" s="229">
        <v>0.97428599999999999</v>
      </c>
      <c r="F457" s="229">
        <v>5.9326999999999998E-2</v>
      </c>
      <c r="G457" s="229">
        <v>0.79312000000000005</v>
      </c>
      <c r="H457" s="230">
        <f>Proj_Inputs!$B$44+(Proj_Inputs!$C$44-Proj_Inputs!$B$44)*B457</f>
        <v>-3.9998400000000003E-2</v>
      </c>
      <c r="I457" s="230">
        <f>Proj_Inputs!$B$45+(Proj_Inputs!$C$45-Proj_Inputs!$B$45)*C457</f>
        <v>3.2808479999999994E-2</v>
      </c>
      <c r="J457" s="230">
        <f>Proj_Inputs!$B$46+(Proj_Inputs!$C$46-Proj_Inputs!$B$46)*D457</f>
        <v>-3.6484599999999992E-2</v>
      </c>
      <c r="K457" s="230">
        <f>Proj_Inputs!$B$47+(Proj_Inputs!$C$47-Proj_Inputs!$B$47)*E457</f>
        <v>0.19357150000000001</v>
      </c>
      <c r="L457" s="230">
        <f>Proj_Inputs!$B$46+(Proj_Inputs!$C$46-Proj_Inputs!$B$46)*F457</f>
        <v>-0.1381346</v>
      </c>
      <c r="M457" s="230">
        <f>Proj_Inputs!$B$47+(Proj_Inputs!$C$47-Proj_Inputs!$B$47)*G457</f>
        <v>0.14828000000000002</v>
      </c>
      <c r="N457" s="231">
        <f>(1+H457)*(Proj_Inputs!$B$20+J457)/Proj_Inputs!$B$20*((Proj_Inputs!$B$21+I457)*(1-Proj_Inputs!$B$24)*NPV_Pirelli!$B$47+NPV_Pirelli!$B$49)+(1+K457)*NPV_Pirelli!$B$48</f>
        <v>345.46287689156486</v>
      </c>
      <c r="O457" s="231">
        <f>(1+H457)*(Proj_Inputs!$C$20+L457)/Proj_Inputs!$C$20*((Proj_Inputs!$C$21+I457)*(1-Proj_Inputs!$C$24)*NPV_Hankook!$B$47+NPV_Hankook!$B$49)+(1+M457)*NPV_Hankook!$B$48</f>
        <v>-280.64077107960497</v>
      </c>
    </row>
    <row r="458" spans="1:15" x14ac:dyDescent="0.2">
      <c r="A458" s="228">
        <v>434</v>
      </c>
      <c r="B458" s="229">
        <v>9.0122999999999995E-2</v>
      </c>
      <c r="C458" s="229">
        <v>0.47587600000000002</v>
      </c>
      <c r="D458" s="229">
        <v>0.721136</v>
      </c>
      <c r="E458" s="229">
        <v>0.50752600000000003</v>
      </c>
      <c r="F458" s="229">
        <v>0.51561100000000004</v>
      </c>
      <c r="G458" s="229">
        <v>0.50627299999999997</v>
      </c>
      <c r="H458" s="230">
        <f>Proj_Inputs!$B$44+(Proj_Inputs!$C$44-Proj_Inputs!$B$44)*B458</f>
        <v>-8.1975400000000004E-2</v>
      </c>
      <c r="I458" s="230">
        <f>Proj_Inputs!$B$45+(Proj_Inputs!$C$45-Proj_Inputs!$B$45)*C458</f>
        <v>-1.9299200000000016E-3</v>
      </c>
      <c r="J458" s="230">
        <f>Proj_Inputs!$B$46+(Proj_Inputs!$C$46-Proj_Inputs!$B$46)*D458</f>
        <v>-5.7727999999999946E-3</v>
      </c>
      <c r="K458" s="230">
        <f>Proj_Inputs!$B$47+(Proj_Inputs!$C$47-Proj_Inputs!$B$47)*E458</f>
        <v>7.6881500000000005E-2</v>
      </c>
      <c r="L458" s="230">
        <f>Proj_Inputs!$B$46+(Proj_Inputs!$C$46-Proj_Inputs!$B$46)*F458</f>
        <v>-4.6877799999999983E-2</v>
      </c>
      <c r="M458" s="230">
        <f>Proj_Inputs!$B$47+(Proj_Inputs!$C$47-Proj_Inputs!$B$47)*G458</f>
        <v>7.656824999999999E-2</v>
      </c>
      <c r="N458" s="231">
        <f>(1+H458)*(Proj_Inputs!$B$20+J458)/Proj_Inputs!$B$20*((Proj_Inputs!$B$21+I458)*(1-Proj_Inputs!$B$24)*NPV_Pirelli!$B$47+NPV_Pirelli!$B$49)+(1+K458)*NPV_Pirelli!$B$48</f>
        <v>228.94138827459165</v>
      </c>
      <c r="O458" s="231">
        <f>(1+H458)*(Proj_Inputs!$C$20+L458)/Proj_Inputs!$C$20*((Proj_Inputs!$C$21+I458)*(1-Proj_Inputs!$C$24)*NPV_Hankook!$B$47+NPV_Hankook!$B$49)+(1+M458)*NPV_Hankook!$B$48</f>
        <v>-329.66334101885127</v>
      </c>
    </row>
    <row r="459" spans="1:15" x14ac:dyDescent="0.2">
      <c r="A459" s="228">
        <v>435</v>
      </c>
      <c r="B459" s="229">
        <v>0.17572399999999999</v>
      </c>
      <c r="C459" s="229">
        <v>0.88983400000000001</v>
      </c>
      <c r="D459" s="229">
        <v>0.52810999999999997</v>
      </c>
      <c r="E459" s="229">
        <v>0.54594900000000002</v>
      </c>
      <c r="F459" s="229">
        <v>0.80505700000000002</v>
      </c>
      <c r="G459" s="229">
        <v>0.67578300000000002</v>
      </c>
      <c r="H459" s="230">
        <f>Proj_Inputs!$B$44+(Proj_Inputs!$C$44-Proj_Inputs!$B$44)*B459</f>
        <v>-6.4855200000000002E-2</v>
      </c>
      <c r="I459" s="230">
        <f>Proj_Inputs!$B$45+(Proj_Inputs!$C$45-Proj_Inputs!$B$45)*C459</f>
        <v>3.1186720000000008E-2</v>
      </c>
      <c r="J459" s="230">
        <f>Proj_Inputs!$B$46+(Proj_Inputs!$C$46-Proj_Inputs!$B$46)*D459</f>
        <v>-4.4378000000000001E-2</v>
      </c>
      <c r="K459" s="230">
        <f>Proj_Inputs!$B$47+(Proj_Inputs!$C$47-Proj_Inputs!$B$47)*E459</f>
        <v>8.6487250000000002E-2</v>
      </c>
      <c r="L459" s="230">
        <f>Proj_Inputs!$B$46+(Proj_Inputs!$C$46-Proj_Inputs!$B$46)*F459</f>
        <v>1.1011400000000032E-2</v>
      </c>
      <c r="M459" s="230">
        <f>Proj_Inputs!$B$47+(Proj_Inputs!$C$47-Proj_Inputs!$B$47)*G459</f>
        <v>0.11894575</v>
      </c>
      <c r="N459" s="231">
        <f>(1+H459)*(Proj_Inputs!$B$20+J459)/Proj_Inputs!$B$20*((Proj_Inputs!$B$21+I459)*(1-Proj_Inputs!$B$24)*NPV_Pirelli!$B$47+NPV_Pirelli!$B$49)+(1+K459)*NPV_Pirelli!$B$48</f>
        <v>376.20033584333771</v>
      </c>
      <c r="O459" s="231">
        <f>(1+H459)*(Proj_Inputs!$C$20+L459)/Proj_Inputs!$C$20*((Proj_Inputs!$C$21+I459)*(1-Proj_Inputs!$C$24)*NPV_Hankook!$B$47+NPV_Hankook!$B$49)+(1+M459)*NPV_Hankook!$B$48</f>
        <v>-83.142826430047307</v>
      </c>
    </row>
    <row r="460" spans="1:15" x14ac:dyDescent="0.2">
      <c r="A460" s="228">
        <v>436</v>
      </c>
      <c r="B460" s="229">
        <v>0.76700500000000005</v>
      </c>
      <c r="C460" s="229">
        <v>0.470721</v>
      </c>
      <c r="D460" s="229">
        <v>0.92931600000000003</v>
      </c>
      <c r="E460" s="229">
        <v>0.87794099999999997</v>
      </c>
      <c r="F460" s="229">
        <v>0.55600700000000003</v>
      </c>
      <c r="G460" s="229">
        <v>0.414607</v>
      </c>
      <c r="H460" s="230">
        <f>Proj_Inputs!$B$44+(Proj_Inputs!$C$44-Proj_Inputs!$B$44)*B460</f>
        <v>5.3401000000000004E-2</v>
      </c>
      <c r="I460" s="230">
        <f>Proj_Inputs!$B$45+(Proj_Inputs!$C$45-Proj_Inputs!$B$45)*C460</f>
        <v>-2.3423200000000019E-3</v>
      </c>
      <c r="J460" s="230">
        <f>Proj_Inputs!$B$46+(Proj_Inputs!$C$46-Proj_Inputs!$B$46)*D460</f>
        <v>3.5863200000000012E-2</v>
      </c>
      <c r="K460" s="230">
        <f>Proj_Inputs!$B$47+(Proj_Inputs!$C$47-Proj_Inputs!$B$47)*E460</f>
        <v>0.16948524999999998</v>
      </c>
      <c r="L460" s="230">
        <f>Proj_Inputs!$B$46+(Proj_Inputs!$C$46-Proj_Inputs!$B$46)*F460</f>
        <v>-3.8798599999999989E-2</v>
      </c>
      <c r="M460" s="230">
        <f>Proj_Inputs!$B$47+(Proj_Inputs!$C$47-Proj_Inputs!$B$47)*G460</f>
        <v>5.3651749999999998E-2</v>
      </c>
      <c r="N460" s="231">
        <f>(1+H460)*(Proj_Inputs!$B$20+J460)/Proj_Inputs!$B$20*((Proj_Inputs!$B$21+I460)*(1-Proj_Inputs!$B$24)*NPV_Pirelli!$B$47+NPV_Pirelli!$B$49)+(1+K460)*NPV_Pirelli!$B$48</f>
        <v>369.68409249139165</v>
      </c>
      <c r="O460" s="231">
        <f>(1+H460)*(Proj_Inputs!$C$20+L460)/Proj_Inputs!$C$20*((Proj_Inputs!$C$21+I460)*(1-Proj_Inputs!$C$24)*NPV_Hankook!$B$47+NPV_Hankook!$B$49)+(1+M460)*NPV_Hankook!$B$48</f>
        <v>-159.75813993227939</v>
      </c>
    </row>
    <row r="461" spans="1:15" x14ac:dyDescent="0.2">
      <c r="A461" s="228">
        <v>437</v>
      </c>
      <c r="B461" s="229">
        <v>0.32596900000000001</v>
      </c>
      <c r="C461" s="229">
        <v>0.51313299999999995</v>
      </c>
      <c r="D461" s="229">
        <v>0.90090800000000004</v>
      </c>
      <c r="E461" s="229">
        <v>4.1972000000000002E-2</v>
      </c>
      <c r="F461" s="229">
        <v>0.52249999999999996</v>
      </c>
      <c r="G461" s="229">
        <v>0.76970700000000003</v>
      </c>
      <c r="H461" s="230">
        <f>Proj_Inputs!$B$44+(Proj_Inputs!$C$44-Proj_Inputs!$B$44)*B461</f>
        <v>-3.4806199999999995E-2</v>
      </c>
      <c r="I461" s="230">
        <f>Proj_Inputs!$B$45+(Proj_Inputs!$C$45-Proj_Inputs!$B$45)*C461</f>
        <v>1.0506399999999985E-3</v>
      </c>
      <c r="J461" s="230">
        <f>Proj_Inputs!$B$46+(Proj_Inputs!$C$46-Proj_Inputs!$B$46)*D461</f>
        <v>3.0181600000000031E-2</v>
      </c>
      <c r="K461" s="230">
        <f>Proj_Inputs!$B$47+(Proj_Inputs!$C$47-Proj_Inputs!$B$47)*E461</f>
        <v>-3.9507E-2</v>
      </c>
      <c r="L461" s="230">
        <f>Proj_Inputs!$B$46+(Proj_Inputs!$C$46-Proj_Inputs!$B$46)*F461</f>
        <v>-4.5499999999999999E-2</v>
      </c>
      <c r="M461" s="230">
        <f>Proj_Inputs!$B$47+(Proj_Inputs!$C$47-Proj_Inputs!$B$47)*G461</f>
        <v>0.14242674999999999</v>
      </c>
      <c r="N461" s="231">
        <f>(1+H461)*(Proj_Inputs!$B$20+J461)/Proj_Inputs!$B$20*((Proj_Inputs!$B$21+I461)*(1-Proj_Inputs!$B$24)*NPV_Pirelli!$B$47+NPV_Pirelli!$B$49)+(1+K461)*NPV_Pirelli!$B$48</f>
        <v>440.03940600198848</v>
      </c>
      <c r="O461" s="231">
        <f>(1+H461)*(Proj_Inputs!$C$20+L461)/Proj_Inputs!$C$20*((Proj_Inputs!$C$21+I461)*(1-Proj_Inputs!$C$24)*NPV_Hankook!$B$47+NPV_Hankook!$B$49)+(1+M461)*NPV_Hankook!$B$48</f>
        <v>-338.58136144142111</v>
      </c>
    </row>
    <row r="462" spans="1:15" x14ac:dyDescent="0.2">
      <c r="A462" s="228">
        <v>438</v>
      </c>
      <c r="B462" s="229">
        <v>0.799817</v>
      </c>
      <c r="C462" s="229">
        <v>0.33833600000000003</v>
      </c>
      <c r="D462" s="229">
        <v>0.13503299999999999</v>
      </c>
      <c r="E462" s="229">
        <v>0.10718999999999999</v>
      </c>
      <c r="F462" s="229">
        <v>0.41929499999999997</v>
      </c>
      <c r="G462" s="229">
        <v>0.88267399999999996</v>
      </c>
      <c r="H462" s="230">
        <f>Proj_Inputs!$B$44+(Proj_Inputs!$C$44-Proj_Inputs!$B$44)*B462</f>
        <v>5.99634E-2</v>
      </c>
      <c r="I462" s="230">
        <f>Proj_Inputs!$B$45+(Proj_Inputs!$C$45-Proj_Inputs!$B$45)*C462</f>
        <v>-1.2933119999999999E-2</v>
      </c>
      <c r="J462" s="230">
        <f>Proj_Inputs!$B$46+(Proj_Inputs!$C$46-Proj_Inputs!$B$46)*D462</f>
        <v>-0.1229934</v>
      </c>
      <c r="K462" s="230">
        <f>Proj_Inputs!$B$47+(Proj_Inputs!$C$47-Proj_Inputs!$B$47)*E462</f>
        <v>-2.3202500000000004E-2</v>
      </c>
      <c r="L462" s="230">
        <f>Proj_Inputs!$B$46+(Proj_Inputs!$C$46-Proj_Inputs!$B$46)*F462</f>
        <v>-6.6140999999999991E-2</v>
      </c>
      <c r="M462" s="230">
        <f>Proj_Inputs!$B$47+(Proj_Inputs!$C$47-Proj_Inputs!$B$47)*G462</f>
        <v>0.1706685</v>
      </c>
      <c r="N462" s="231">
        <f>(1+H462)*(Proj_Inputs!$B$20+J462)/Proj_Inputs!$B$20*((Proj_Inputs!$B$21+I462)*(1-Proj_Inputs!$B$24)*NPV_Pirelli!$B$47+NPV_Pirelli!$B$49)+(1+K462)*NPV_Pirelli!$B$48</f>
        <v>249.06668270646617</v>
      </c>
      <c r="O462" s="231">
        <f>(1+H462)*(Proj_Inputs!$C$20+L462)/Proj_Inputs!$C$20*((Proj_Inputs!$C$21+I462)*(1-Proj_Inputs!$C$24)*NPV_Hankook!$B$47+NPV_Hankook!$B$49)+(1+M462)*NPV_Hankook!$B$48</f>
        <v>-394.57713807932316</v>
      </c>
    </row>
    <row r="463" spans="1:15" x14ac:dyDescent="0.2">
      <c r="A463" s="228">
        <v>439</v>
      </c>
      <c r="B463" s="229">
        <v>0.68956899999999999</v>
      </c>
      <c r="C463" s="229">
        <v>0.87675700000000001</v>
      </c>
      <c r="D463" s="229">
        <v>0.65156099999999995</v>
      </c>
      <c r="E463" s="229">
        <v>0.35303600000000002</v>
      </c>
      <c r="F463" s="229">
        <v>0.74056100000000002</v>
      </c>
      <c r="G463" s="229">
        <v>0.45741100000000001</v>
      </c>
      <c r="H463" s="230">
        <f>Proj_Inputs!$B$44+(Proj_Inputs!$C$44-Proj_Inputs!$B$44)*B463</f>
        <v>3.7913799999999998E-2</v>
      </c>
      <c r="I463" s="230">
        <f>Proj_Inputs!$B$45+(Proj_Inputs!$C$45-Proj_Inputs!$B$45)*C463</f>
        <v>3.0140560000000004E-2</v>
      </c>
      <c r="J463" s="230">
        <f>Proj_Inputs!$B$46+(Proj_Inputs!$C$46-Proj_Inputs!$B$46)*D463</f>
        <v>-1.9687800000000005E-2</v>
      </c>
      <c r="K463" s="230">
        <f>Proj_Inputs!$B$47+(Proj_Inputs!$C$47-Proj_Inputs!$B$47)*E463</f>
        <v>3.8259000000000001E-2</v>
      </c>
      <c r="L463" s="230">
        <f>Proj_Inputs!$B$46+(Proj_Inputs!$C$46-Proj_Inputs!$B$46)*F463</f>
        <v>-1.887799999999995E-3</v>
      </c>
      <c r="M463" s="230">
        <f>Proj_Inputs!$B$47+(Proj_Inputs!$C$47-Proj_Inputs!$B$47)*G463</f>
        <v>6.435275E-2</v>
      </c>
      <c r="N463" s="231">
        <f>(1+H463)*(Proj_Inputs!$B$20+J463)/Proj_Inputs!$B$20*((Proj_Inputs!$B$21+I463)*(1-Proj_Inputs!$B$24)*NPV_Pirelli!$B$47+NPV_Pirelli!$B$49)+(1+K463)*NPV_Pirelli!$B$48</f>
        <v>582.60500839395684</v>
      </c>
      <c r="O463" s="231">
        <f>(1+H463)*(Proj_Inputs!$C$20+L463)/Proj_Inputs!$C$20*((Proj_Inputs!$C$21+I463)*(1-Proj_Inputs!$C$24)*NPV_Hankook!$B$47+NPV_Hankook!$B$49)+(1+M463)*NPV_Hankook!$B$48</f>
        <v>87.702809181236717</v>
      </c>
    </row>
    <row r="464" spans="1:15" x14ac:dyDescent="0.2">
      <c r="A464" s="228">
        <v>440</v>
      </c>
      <c r="B464" s="229">
        <v>0.11536100000000001</v>
      </c>
      <c r="C464" s="229">
        <v>0.989622</v>
      </c>
      <c r="D464" s="229">
        <v>0.68142100000000005</v>
      </c>
      <c r="E464" s="229">
        <v>0.150482</v>
      </c>
      <c r="F464" s="229">
        <v>0.44175799999999998</v>
      </c>
      <c r="G464" s="229">
        <v>0.34076400000000001</v>
      </c>
      <c r="H464" s="230">
        <f>Proj_Inputs!$B$44+(Proj_Inputs!$C$44-Proj_Inputs!$B$44)*B464</f>
        <v>-7.6927800000000005E-2</v>
      </c>
      <c r="I464" s="230">
        <f>Proj_Inputs!$B$45+(Proj_Inputs!$C$45-Proj_Inputs!$B$45)*C464</f>
        <v>3.9169760000000005E-2</v>
      </c>
      <c r="J464" s="230">
        <f>Proj_Inputs!$B$46+(Proj_Inputs!$C$46-Proj_Inputs!$B$46)*D464</f>
        <v>-1.3715799999999972E-2</v>
      </c>
      <c r="K464" s="230">
        <f>Proj_Inputs!$B$47+(Proj_Inputs!$C$47-Proj_Inputs!$B$47)*E464</f>
        <v>-1.2379500000000002E-2</v>
      </c>
      <c r="L464" s="230">
        <f>Proj_Inputs!$B$46+(Proj_Inputs!$C$46-Proj_Inputs!$B$46)*F464</f>
        <v>-6.1648399999999992E-2</v>
      </c>
      <c r="M464" s="230">
        <f>Proj_Inputs!$B$47+(Proj_Inputs!$C$47-Proj_Inputs!$B$47)*G464</f>
        <v>3.5191E-2</v>
      </c>
      <c r="N464" s="231">
        <f>(1+H464)*(Proj_Inputs!$B$20+J464)/Proj_Inputs!$B$20*((Proj_Inputs!$B$21+I464)*(1-Proj_Inputs!$B$24)*NPV_Pirelli!$B$47+NPV_Pirelli!$B$49)+(1+K464)*NPV_Pirelli!$B$48</f>
        <v>526.72422252324361</v>
      </c>
      <c r="O464" s="231">
        <f>(1+H464)*(Proj_Inputs!$C$20+L464)/Proj_Inputs!$C$20*((Proj_Inputs!$C$21+I464)*(1-Proj_Inputs!$C$24)*NPV_Hankook!$B$47+NPV_Hankook!$B$49)+(1+M464)*NPV_Hankook!$B$48</f>
        <v>-50.332487133084442</v>
      </c>
    </row>
    <row r="465" spans="1:15" x14ac:dyDescent="0.2">
      <c r="A465" s="228">
        <v>441</v>
      </c>
      <c r="B465" s="229">
        <v>0.42182900000000001</v>
      </c>
      <c r="C465" s="229">
        <v>0.874274</v>
      </c>
      <c r="D465" s="229">
        <v>0.19891800000000001</v>
      </c>
      <c r="E465" s="229">
        <v>0.92211500000000002</v>
      </c>
      <c r="F465" s="229">
        <v>0.63216000000000006</v>
      </c>
      <c r="G465" s="229">
        <v>0.86197500000000005</v>
      </c>
      <c r="H465" s="230">
        <f>Proj_Inputs!$B$44+(Proj_Inputs!$C$44-Proj_Inputs!$B$44)*B465</f>
        <v>-1.5634200000000001E-2</v>
      </c>
      <c r="I465" s="230">
        <f>Proj_Inputs!$B$45+(Proj_Inputs!$C$45-Proj_Inputs!$B$45)*C465</f>
        <v>2.9941920000000004E-2</v>
      </c>
      <c r="J465" s="230">
        <f>Proj_Inputs!$B$46+(Proj_Inputs!$C$46-Proj_Inputs!$B$46)*D465</f>
        <v>-0.11021639999999999</v>
      </c>
      <c r="K465" s="230">
        <f>Proj_Inputs!$B$47+(Proj_Inputs!$C$47-Proj_Inputs!$B$47)*E465</f>
        <v>0.18052875000000002</v>
      </c>
      <c r="L465" s="230">
        <f>Proj_Inputs!$B$46+(Proj_Inputs!$C$46-Proj_Inputs!$B$46)*F465</f>
        <v>-2.3567999999999978E-2</v>
      </c>
      <c r="M465" s="230">
        <f>Proj_Inputs!$B$47+(Proj_Inputs!$C$47-Proj_Inputs!$B$47)*G465</f>
        <v>0.16549375</v>
      </c>
      <c r="N465" s="231">
        <f>(1+H465)*(Proj_Inputs!$B$20+J465)/Proj_Inputs!$B$20*((Proj_Inputs!$B$21+I465)*(1-Proj_Inputs!$B$24)*NPV_Pirelli!$B$47+NPV_Pirelli!$B$49)+(1+K465)*NPV_Pirelli!$B$48</f>
        <v>260.44638233754756</v>
      </c>
      <c r="O465" s="231">
        <f>(1+H465)*(Proj_Inputs!$C$20+L465)/Proj_Inputs!$C$20*((Proj_Inputs!$C$21+I465)*(1-Proj_Inputs!$C$24)*NPV_Hankook!$B$47+NPV_Hankook!$B$49)+(1+M465)*NPV_Hankook!$B$48</f>
        <v>-130.01945610352891</v>
      </c>
    </row>
    <row r="466" spans="1:15" x14ac:dyDescent="0.2">
      <c r="A466" s="228">
        <v>442</v>
      </c>
      <c r="B466" s="229">
        <v>0.19062399999999999</v>
      </c>
      <c r="C466" s="229">
        <v>0.56485200000000002</v>
      </c>
      <c r="D466" s="229">
        <v>0.62198500000000001</v>
      </c>
      <c r="E466" s="229">
        <v>0.50980499999999995</v>
      </c>
      <c r="F466" s="229">
        <v>0.263905</v>
      </c>
      <c r="G466" s="229">
        <v>0.47458099999999998</v>
      </c>
      <c r="H466" s="230">
        <f>Proj_Inputs!$B$44+(Proj_Inputs!$C$44-Proj_Inputs!$B$44)*B466</f>
        <v>-6.1875200000000005E-2</v>
      </c>
      <c r="I466" s="230">
        <f>Proj_Inputs!$B$45+(Proj_Inputs!$C$45-Proj_Inputs!$B$45)*C466</f>
        <v>5.1881600000000042E-3</v>
      </c>
      <c r="J466" s="230">
        <f>Proj_Inputs!$B$46+(Proj_Inputs!$C$46-Proj_Inputs!$B$46)*D466</f>
        <v>-2.5602999999999987E-2</v>
      </c>
      <c r="K466" s="230">
        <f>Proj_Inputs!$B$47+(Proj_Inputs!$C$47-Proj_Inputs!$B$47)*E466</f>
        <v>7.7451249999999985E-2</v>
      </c>
      <c r="L466" s="230">
        <f>Proj_Inputs!$B$46+(Proj_Inputs!$C$46-Proj_Inputs!$B$46)*F466</f>
        <v>-9.7219E-2</v>
      </c>
      <c r="M466" s="230">
        <f>Proj_Inputs!$B$47+(Proj_Inputs!$C$47-Proj_Inputs!$B$47)*G466</f>
        <v>6.8645249999999991E-2</v>
      </c>
      <c r="N466" s="231">
        <f>(1+H466)*(Proj_Inputs!$B$20+J466)/Proj_Inputs!$B$20*((Proj_Inputs!$B$21+I466)*(1-Proj_Inputs!$B$24)*NPV_Pirelli!$B$47+NPV_Pirelli!$B$49)+(1+K466)*NPV_Pirelli!$B$48</f>
        <v>267.80023280500848</v>
      </c>
      <c r="O466" s="231">
        <f>(1+H466)*(Proj_Inputs!$C$20+L466)/Proj_Inputs!$C$20*((Proj_Inputs!$C$21+I466)*(1-Proj_Inputs!$C$24)*NPV_Hankook!$B$47+NPV_Hankook!$B$49)+(1+M466)*NPV_Hankook!$B$48</f>
        <v>-315.06377709729816</v>
      </c>
    </row>
    <row r="467" spans="1:15" x14ac:dyDescent="0.2">
      <c r="A467" s="228">
        <v>443</v>
      </c>
      <c r="B467" s="229">
        <v>0.670767</v>
      </c>
      <c r="C467" s="229">
        <v>0.90024099999999996</v>
      </c>
      <c r="D467" s="229">
        <v>0.15860399999999999</v>
      </c>
      <c r="E467" s="229">
        <v>0.19369400000000001</v>
      </c>
      <c r="F467" s="229">
        <v>0.65909799999999996</v>
      </c>
      <c r="G467" s="229">
        <v>0.90376800000000002</v>
      </c>
      <c r="H467" s="230">
        <f>Proj_Inputs!$B$44+(Proj_Inputs!$C$44-Proj_Inputs!$B$44)*B467</f>
        <v>3.41534E-2</v>
      </c>
      <c r="I467" s="230">
        <f>Proj_Inputs!$B$45+(Proj_Inputs!$C$45-Proj_Inputs!$B$45)*C467</f>
        <v>3.2019280000000004E-2</v>
      </c>
      <c r="J467" s="230">
        <f>Proj_Inputs!$B$46+(Proj_Inputs!$C$46-Proj_Inputs!$B$46)*D467</f>
        <v>-0.1182792</v>
      </c>
      <c r="K467" s="230">
        <f>Proj_Inputs!$B$47+(Proj_Inputs!$C$47-Proj_Inputs!$B$47)*E467</f>
        <v>-1.5765000000000015E-3</v>
      </c>
      <c r="L467" s="230">
        <f>Proj_Inputs!$B$46+(Proj_Inputs!$C$46-Proj_Inputs!$B$46)*F467</f>
        <v>-1.8180399999999985E-2</v>
      </c>
      <c r="M467" s="230">
        <f>Proj_Inputs!$B$47+(Proj_Inputs!$C$47-Proj_Inputs!$B$47)*G467</f>
        <v>0.17594199999999999</v>
      </c>
      <c r="N467" s="231">
        <f>(1+H467)*(Proj_Inputs!$B$20+J467)/Proj_Inputs!$B$20*((Proj_Inputs!$B$21+I467)*(1-Proj_Inputs!$B$24)*NPV_Pirelli!$B$47+NPV_Pirelli!$B$49)+(1+K467)*NPV_Pirelli!$B$48</f>
        <v>463.02175494532526</v>
      </c>
      <c r="O467" s="231">
        <f>(1+H467)*(Proj_Inputs!$C$20+L467)/Proj_Inputs!$C$20*((Proj_Inputs!$C$21+I467)*(1-Proj_Inputs!$C$24)*NPV_Hankook!$B$47+NPV_Hankook!$B$49)+(1+M467)*NPV_Hankook!$B$48</f>
        <v>-57.832905982532793</v>
      </c>
    </row>
    <row r="468" spans="1:15" x14ac:dyDescent="0.2">
      <c r="A468" s="228">
        <v>444</v>
      </c>
      <c r="B468" s="229">
        <v>0.16930300000000001</v>
      </c>
      <c r="C468" s="229">
        <v>0.54243200000000003</v>
      </c>
      <c r="D468" s="229">
        <v>0.382108</v>
      </c>
      <c r="E468" s="229">
        <v>0.41480899999999998</v>
      </c>
      <c r="F468" s="229">
        <v>0.69785200000000003</v>
      </c>
      <c r="G468" s="229">
        <v>0.46071600000000001</v>
      </c>
      <c r="H468" s="230">
        <f>Proj_Inputs!$B$44+(Proj_Inputs!$C$44-Proj_Inputs!$B$44)*B468</f>
        <v>-6.6139400000000001E-2</v>
      </c>
      <c r="I468" s="230">
        <f>Proj_Inputs!$B$45+(Proj_Inputs!$C$45-Proj_Inputs!$B$45)*C468</f>
        <v>3.3945600000000048E-3</v>
      </c>
      <c r="J468" s="230">
        <f>Proj_Inputs!$B$46+(Proj_Inputs!$C$46-Proj_Inputs!$B$46)*D468</f>
        <v>-7.3578399999999988E-2</v>
      </c>
      <c r="K468" s="230">
        <f>Proj_Inputs!$B$47+(Proj_Inputs!$C$47-Proj_Inputs!$B$47)*E468</f>
        <v>5.3702249999999993E-2</v>
      </c>
      <c r="L468" s="230">
        <f>Proj_Inputs!$B$46+(Proj_Inputs!$C$46-Proj_Inputs!$B$46)*F468</f>
        <v>-1.0429599999999983E-2</v>
      </c>
      <c r="M468" s="230">
        <f>Proj_Inputs!$B$47+(Proj_Inputs!$C$47-Proj_Inputs!$B$47)*G468</f>
        <v>6.5179000000000001E-2</v>
      </c>
      <c r="N468" s="231">
        <f>(1+H468)*(Proj_Inputs!$B$20+J468)/Proj_Inputs!$B$20*((Proj_Inputs!$B$21+I468)*(1-Proj_Inputs!$B$24)*NPV_Pirelli!$B$47+NPV_Pirelli!$B$49)+(1+K468)*NPV_Pirelli!$B$48</f>
        <v>210.91091436023453</v>
      </c>
      <c r="O468" s="231">
        <f>(1+H468)*(Proj_Inputs!$C$20+L468)/Proj_Inputs!$C$20*((Proj_Inputs!$C$21+I468)*(1-Proj_Inputs!$C$24)*NPV_Hankook!$B$47+NPV_Hankook!$B$49)+(1+M468)*NPV_Hankook!$B$48</f>
        <v>-226.71439514672534</v>
      </c>
    </row>
    <row r="469" spans="1:15" x14ac:dyDescent="0.2">
      <c r="A469" s="228">
        <v>445</v>
      </c>
      <c r="B469" s="229">
        <v>6.4037999999999998E-2</v>
      </c>
      <c r="C469" s="229">
        <v>0.93254999999999999</v>
      </c>
      <c r="D469" s="229">
        <v>0.517926</v>
      </c>
      <c r="E469" s="229">
        <v>0.14998</v>
      </c>
      <c r="F469" s="229">
        <v>0.47645700000000002</v>
      </c>
      <c r="G469" s="229">
        <v>0.21559600000000001</v>
      </c>
      <c r="H469" s="230">
        <f>Proj_Inputs!$B$44+(Proj_Inputs!$C$44-Proj_Inputs!$B$44)*B469</f>
        <v>-8.7192400000000003E-2</v>
      </c>
      <c r="I469" s="230">
        <f>Proj_Inputs!$B$45+(Proj_Inputs!$C$45-Proj_Inputs!$B$45)*C469</f>
        <v>3.4604000000000003E-2</v>
      </c>
      <c r="J469" s="230">
        <f>Proj_Inputs!$B$46+(Proj_Inputs!$C$46-Proj_Inputs!$B$46)*D469</f>
        <v>-4.6414799999999992E-2</v>
      </c>
      <c r="K469" s="230">
        <f>Proj_Inputs!$B$47+(Proj_Inputs!$C$47-Proj_Inputs!$B$47)*E469</f>
        <v>-1.2505000000000002E-2</v>
      </c>
      <c r="L469" s="230">
        <f>Proj_Inputs!$B$46+(Proj_Inputs!$C$46-Proj_Inputs!$B$46)*F469</f>
        <v>-5.4708599999999982E-2</v>
      </c>
      <c r="M469" s="230">
        <f>Proj_Inputs!$B$47+(Proj_Inputs!$C$47-Proj_Inputs!$B$47)*G469</f>
        <v>3.8989999999999997E-3</v>
      </c>
      <c r="N469" s="231">
        <f>(1+H469)*(Proj_Inputs!$B$20+J469)/Proj_Inputs!$B$20*((Proj_Inputs!$B$21+I469)*(1-Proj_Inputs!$B$24)*NPV_Pirelli!$B$47+NPV_Pirelli!$B$49)+(1+K469)*NPV_Pirelli!$B$48</f>
        <v>440.23239574880074</v>
      </c>
      <c r="O469" s="231">
        <f>(1+H469)*(Proj_Inputs!$C$20+L469)/Proj_Inputs!$C$20*((Proj_Inputs!$C$21+I469)*(1-Proj_Inputs!$C$24)*NPV_Hankook!$B$47+NPV_Hankook!$B$49)+(1+M469)*NPV_Hankook!$B$48</f>
        <v>-44.141587168185879</v>
      </c>
    </row>
    <row r="470" spans="1:15" x14ac:dyDescent="0.2">
      <c r="A470" s="228">
        <v>446</v>
      </c>
      <c r="B470" s="229">
        <v>0.65354999999999996</v>
      </c>
      <c r="C470" s="229">
        <v>0.481817</v>
      </c>
      <c r="D470" s="229">
        <v>0.66239000000000003</v>
      </c>
      <c r="E470" s="229">
        <v>0.45574700000000001</v>
      </c>
      <c r="F470" s="229">
        <v>0.31117</v>
      </c>
      <c r="G470" s="229">
        <v>0.74928399999999995</v>
      </c>
      <c r="H470" s="230">
        <f>Proj_Inputs!$B$44+(Proj_Inputs!$C$44-Proj_Inputs!$B$44)*B470</f>
        <v>3.0709999999999987E-2</v>
      </c>
      <c r="I470" s="230">
        <f>Proj_Inputs!$B$45+(Proj_Inputs!$C$45-Proj_Inputs!$B$45)*C470</f>
        <v>-1.4546400000000001E-3</v>
      </c>
      <c r="J470" s="230">
        <f>Proj_Inputs!$B$46+(Proj_Inputs!$C$46-Proj_Inputs!$B$46)*D470</f>
        <v>-1.7521999999999982E-2</v>
      </c>
      <c r="K470" s="230">
        <f>Proj_Inputs!$B$47+(Proj_Inputs!$C$47-Proj_Inputs!$B$47)*E470</f>
        <v>6.3936750000000001E-2</v>
      </c>
      <c r="L470" s="230">
        <f>Proj_Inputs!$B$46+(Proj_Inputs!$C$46-Proj_Inputs!$B$46)*F470</f>
        <v>-8.7765999999999983E-2</v>
      </c>
      <c r="M470" s="230">
        <f>Proj_Inputs!$B$47+(Proj_Inputs!$C$47-Proj_Inputs!$B$47)*G470</f>
        <v>0.13732099999999997</v>
      </c>
      <c r="N470" s="231">
        <f>(1+H470)*(Proj_Inputs!$B$20+J470)/Proj_Inputs!$B$20*((Proj_Inputs!$B$21+I470)*(1-Proj_Inputs!$B$24)*NPV_Pirelli!$B$47+NPV_Pirelli!$B$49)+(1+K470)*NPV_Pirelli!$B$48</f>
        <v>358.52664768851071</v>
      </c>
      <c r="O470" s="231">
        <f>(1+H470)*(Proj_Inputs!$C$20+L470)/Proj_Inputs!$C$20*((Proj_Inputs!$C$21+I470)*(1-Proj_Inputs!$C$24)*NPV_Hankook!$B$47+NPV_Hankook!$B$49)+(1+M470)*NPV_Hankook!$B$48</f>
        <v>-333.69838427053662</v>
      </c>
    </row>
    <row r="471" spans="1:15" x14ac:dyDescent="0.2">
      <c r="A471" s="228">
        <v>447</v>
      </c>
      <c r="B471" s="229">
        <v>9.5758999999999997E-2</v>
      </c>
      <c r="C471" s="229">
        <v>0.79606399999999999</v>
      </c>
      <c r="D471" s="229">
        <v>0.764158</v>
      </c>
      <c r="E471" s="229">
        <v>0.49570900000000001</v>
      </c>
      <c r="F471" s="229">
        <v>3.5888000000000003E-2</v>
      </c>
      <c r="G471" s="229">
        <v>0.18514900000000001</v>
      </c>
      <c r="H471" s="230">
        <f>Proj_Inputs!$B$44+(Proj_Inputs!$C$44-Proj_Inputs!$B$44)*B471</f>
        <v>-8.0848200000000009E-2</v>
      </c>
      <c r="I471" s="230">
        <f>Proj_Inputs!$B$45+(Proj_Inputs!$C$45-Proj_Inputs!$B$45)*C471</f>
        <v>2.3685119999999997E-2</v>
      </c>
      <c r="J471" s="230">
        <f>Proj_Inputs!$B$46+(Proj_Inputs!$C$46-Proj_Inputs!$B$46)*D471</f>
        <v>2.8316000000000174E-3</v>
      </c>
      <c r="K471" s="230">
        <f>Proj_Inputs!$B$47+(Proj_Inputs!$C$47-Proj_Inputs!$B$47)*E471</f>
        <v>7.392725E-2</v>
      </c>
      <c r="L471" s="230">
        <f>Proj_Inputs!$B$46+(Proj_Inputs!$C$46-Proj_Inputs!$B$46)*F471</f>
        <v>-0.14282239999999999</v>
      </c>
      <c r="M471" s="230">
        <f>Proj_Inputs!$B$47+(Proj_Inputs!$C$47-Proj_Inputs!$B$47)*G471</f>
        <v>-3.7127500000000008E-3</v>
      </c>
      <c r="N471" s="231">
        <f>(1+H471)*(Proj_Inputs!$B$20+J471)/Proj_Inputs!$B$20*((Proj_Inputs!$B$21+I471)*(1-Proj_Inputs!$B$24)*NPV_Pirelli!$B$47+NPV_Pirelli!$B$49)+(1+K471)*NPV_Pirelli!$B$48</f>
        <v>389.08469050587303</v>
      </c>
      <c r="O471" s="231">
        <f>(1+H471)*(Proj_Inputs!$C$20+L471)/Proj_Inputs!$C$20*((Proj_Inputs!$C$21+I471)*(1-Proj_Inputs!$C$24)*NPV_Hankook!$B$47+NPV_Hankook!$B$49)+(1+M471)*NPV_Hankook!$B$48</f>
        <v>-203.29093550430912</v>
      </c>
    </row>
    <row r="472" spans="1:15" x14ac:dyDescent="0.2">
      <c r="A472" s="228">
        <v>448</v>
      </c>
      <c r="B472" s="229">
        <v>1.9220999999999999E-2</v>
      </c>
      <c r="C472" s="229">
        <v>0.39141500000000001</v>
      </c>
      <c r="D472" s="229">
        <v>0.77063300000000001</v>
      </c>
      <c r="E472" s="229">
        <v>3.5476000000000001E-2</v>
      </c>
      <c r="F472" s="229">
        <v>0.67680499999999999</v>
      </c>
      <c r="G472" s="229">
        <v>0.47592400000000001</v>
      </c>
      <c r="H472" s="230">
        <f>Proj_Inputs!$B$44+(Proj_Inputs!$C$44-Proj_Inputs!$B$44)*B472</f>
        <v>-9.61558E-2</v>
      </c>
      <c r="I472" s="230">
        <f>Proj_Inputs!$B$45+(Proj_Inputs!$C$45-Proj_Inputs!$B$45)*C472</f>
        <v>-8.6868000000000015E-3</v>
      </c>
      <c r="J472" s="230">
        <f>Proj_Inputs!$B$46+(Proj_Inputs!$C$46-Proj_Inputs!$B$46)*D472</f>
        <v>4.126600000000008E-3</v>
      </c>
      <c r="K472" s="230">
        <f>Proj_Inputs!$B$47+(Proj_Inputs!$C$47-Proj_Inputs!$B$47)*E472</f>
        <v>-4.1131000000000001E-2</v>
      </c>
      <c r="L472" s="230">
        <f>Proj_Inputs!$B$46+(Proj_Inputs!$C$46-Proj_Inputs!$B$46)*F472</f>
        <v>-1.4638999999999985E-2</v>
      </c>
      <c r="M472" s="230">
        <f>Proj_Inputs!$B$47+(Proj_Inputs!$C$47-Proj_Inputs!$B$47)*G472</f>
        <v>6.8981000000000001E-2</v>
      </c>
      <c r="N472" s="231">
        <f>(1+H472)*(Proj_Inputs!$B$20+J472)/Proj_Inputs!$B$20*((Proj_Inputs!$B$21+I472)*(1-Proj_Inputs!$B$24)*NPV_Pirelli!$B$47+NPV_Pirelli!$B$49)+(1+K472)*NPV_Pirelli!$B$48</f>
        <v>279.12160278717977</v>
      </c>
      <c r="O472" s="231">
        <f>(1+H472)*(Proj_Inputs!$C$20+L472)/Proj_Inputs!$C$20*((Proj_Inputs!$C$21+I472)*(1-Proj_Inputs!$C$24)*NPV_Hankook!$B$47+NPV_Hankook!$B$49)+(1+M472)*NPV_Hankook!$B$48</f>
        <v>-341.93253050143107</v>
      </c>
    </row>
    <row r="473" spans="1:15" x14ac:dyDescent="0.2">
      <c r="A473" s="228">
        <v>449</v>
      </c>
      <c r="B473" s="229">
        <v>0.38366099999999997</v>
      </c>
      <c r="C473" s="229">
        <v>0.60582499999999995</v>
      </c>
      <c r="D473" s="229">
        <v>9.0527999999999997E-2</v>
      </c>
      <c r="E473" s="229">
        <v>0.478823</v>
      </c>
      <c r="F473" s="229">
        <v>0.31852200000000003</v>
      </c>
      <c r="G473" s="229">
        <v>0.33913300000000002</v>
      </c>
      <c r="H473" s="230">
        <f>Proj_Inputs!$B$44+(Proj_Inputs!$C$44-Proj_Inputs!$B$44)*B473</f>
        <v>-2.3267800000000005E-2</v>
      </c>
      <c r="I473" s="230">
        <f>Proj_Inputs!$B$45+(Proj_Inputs!$C$45-Proj_Inputs!$B$45)*C473</f>
        <v>8.4659999999999944E-3</v>
      </c>
      <c r="J473" s="230">
        <f>Proj_Inputs!$B$46+(Proj_Inputs!$C$46-Proj_Inputs!$B$46)*D473</f>
        <v>-0.13189439999999999</v>
      </c>
      <c r="K473" s="230">
        <f>Proj_Inputs!$B$47+(Proj_Inputs!$C$47-Proj_Inputs!$B$47)*E473</f>
        <v>6.9705749999999997E-2</v>
      </c>
      <c r="L473" s="230">
        <f>Proj_Inputs!$B$46+(Proj_Inputs!$C$46-Proj_Inputs!$B$46)*F473</f>
        <v>-8.6295599999999986E-2</v>
      </c>
      <c r="M473" s="230">
        <f>Proj_Inputs!$B$47+(Proj_Inputs!$C$47-Proj_Inputs!$B$47)*G473</f>
        <v>3.4783250000000002E-2</v>
      </c>
      <c r="N473" s="231">
        <f>(1+H473)*(Proj_Inputs!$B$20+J473)/Proj_Inputs!$B$20*((Proj_Inputs!$B$21+I473)*(1-Proj_Inputs!$B$24)*NPV_Pirelli!$B$47+NPV_Pirelli!$B$49)+(1+K473)*NPV_Pirelli!$B$48</f>
        <v>195.39037844945381</v>
      </c>
      <c r="O473" s="231">
        <f>(1+H473)*(Proj_Inputs!$C$20+L473)/Proj_Inputs!$C$20*((Proj_Inputs!$C$21+I473)*(1-Proj_Inputs!$C$24)*NPV_Hankook!$B$47+NPV_Hankook!$B$49)+(1+M473)*NPV_Hankook!$B$48</f>
        <v>-204.49161394855366</v>
      </c>
    </row>
    <row r="474" spans="1:15" x14ac:dyDescent="0.2">
      <c r="A474" s="228">
        <v>450</v>
      </c>
      <c r="B474" s="229">
        <v>0.193135</v>
      </c>
      <c r="C474" s="229">
        <v>0.351576</v>
      </c>
      <c r="D474" s="229">
        <v>0.122726</v>
      </c>
      <c r="E474" s="229">
        <v>0.83660699999999999</v>
      </c>
      <c r="F474" s="229">
        <v>0.97765800000000003</v>
      </c>
      <c r="G474" s="229">
        <v>0.65254199999999996</v>
      </c>
      <c r="H474" s="230">
        <f>Proj_Inputs!$B$44+(Proj_Inputs!$C$44-Proj_Inputs!$B$44)*B474</f>
        <v>-6.1373000000000004E-2</v>
      </c>
      <c r="I474" s="230">
        <f>Proj_Inputs!$B$45+(Proj_Inputs!$C$45-Proj_Inputs!$B$45)*C474</f>
        <v>-1.187392E-2</v>
      </c>
      <c r="J474" s="230">
        <f>Proj_Inputs!$B$46+(Proj_Inputs!$C$46-Proj_Inputs!$B$46)*D474</f>
        <v>-0.12545479999999998</v>
      </c>
      <c r="K474" s="230">
        <f>Proj_Inputs!$B$47+(Proj_Inputs!$C$47-Proj_Inputs!$B$47)*E474</f>
        <v>0.15915174999999998</v>
      </c>
      <c r="L474" s="230">
        <f>Proj_Inputs!$B$46+(Proj_Inputs!$C$46-Proj_Inputs!$B$46)*F474</f>
        <v>4.5531600000000033E-2</v>
      </c>
      <c r="M474" s="230">
        <f>Proj_Inputs!$B$47+(Proj_Inputs!$C$47-Proj_Inputs!$B$47)*G474</f>
        <v>0.11313549999999999</v>
      </c>
      <c r="N474" s="231">
        <f>(1+H474)*(Proj_Inputs!$B$20+J474)/Proj_Inputs!$B$20*((Proj_Inputs!$B$21+I474)*(1-Proj_Inputs!$B$24)*NPV_Pirelli!$B$47+NPV_Pirelli!$B$49)+(1+K474)*NPV_Pirelli!$B$48</f>
        <v>-8.9193429238482622</v>
      </c>
      <c r="O474" s="231">
        <f>(1+H474)*(Proj_Inputs!$C$20+L474)/Proj_Inputs!$C$20*((Proj_Inputs!$C$21+I474)*(1-Proj_Inputs!$C$24)*NPV_Hankook!$B$47+NPV_Hankook!$B$49)+(1+M474)*NPV_Hankook!$B$48</f>
        <v>-316.50539496448266</v>
      </c>
    </row>
    <row r="475" spans="1:15" x14ac:dyDescent="0.2">
      <c r="A475" s="228">
        <v>451</v>
      </c>
      <c r="B475" s="229">
        <v>5.5702000000000002E-2</v>
      </c>
      <c r="C475" s="229">
        <v>0.69769099999999995</v>
      </c>
      <c r="D475" s="229">
        <v>0.29955500000000002</v>
      </c>
      <c r="E475" s="229">
        <v>9.1159000000000004E-2</v>
      </c>
      <c r="F475" s="229">
        <v>0.90400199999999997</v>
      </c>
      <c r="G475" s="229">
        <v>6.1624999999999999E-2</v>
      </c>
      <c r="H475" s="230">
        <f>Proj_Inputs!$B$44+(Proj_Inputs!$C$44-Proj_Inputs!$B$44)*B475</f>
        <v>-8.8859600000000011E-2</v>
      </c>
      <c r="I475" s="230">
        <f>Proj_Inputs!$B$45+(Proj_Inputs!$C$45-Proj_Inputs!$B$45)*C475</f>
        <v>1.5815279999999994E-2</v>
      </c>
      <c r="J475" s="230">
        <f>Proj_Inputs!$B$46+(Proj_Inputs!$C$46-Proj_Inputs!$B$46)*D475</f>
        <v>-9.0088999999999989E-2</v>
      </c>
      <c r="K475" s="230">
        <f>Proj_Inputs!$B$47+(Proj_Inputs!$C$47-Proj_Inputs!$B$47)*E475</f>
        <v>-2.7210250000000002E-2</v>
      </c>
      <c r="L475" s="230">
        <f>Proj_Inputs!$B$46+(Proj_Inputs!$C$46-Proj_Inputs!$B$46)*F475</f>
        <v>3.0800400000000006E-2</v>
      </c>
      <c r="M475" s="230">
        <f>Proj_Inputs!$B$47+(Proj_Inputs!$C$47-Proj_Inputs!$B$47)*G475</f>
        <v>-3.4593750000000006E-2</v>
      </c>
      <c r="N475" s="231">
        <f>(1+H475)*(Proj_Inputs!$B$20+J475)/Proj_Inputs!$B$20*((Proj_Inputs!$B$21+I475)*(1-Proj_Inputs!$B$24)*NPV_Pirelli!$B$47+NPV_Pirelli!$B$49)+(1+K475)*NPV_Pirelli!$B$48</f>
        <v>292.0549920419362</v>
      </c>
      <c r="O475" s="231">
        <f>(1+H475)*(Proj_Inputs!$C$20+L475)/Proj_Inputs!$C$20*((Proj_Inputs!$C$21+I475)*(1-Proj_Inputs!$C$24)*NPV_Hankook!$B$47+NPV_Hankook!$B$49)+(1+M475)*NPV_Hankook!$B$48</f>
        <v>-9.2856332548262799</v>
      </c>
    </row>
    <row r="476" spans="1:15" x14ac:dyDescent="0.2">
      <c r="A476" s="228">
        <v>452</v>
      </c>
      <c r="B476" s="229">
        <v>0.407032</v>
      </c>
      <c r="C476" s="229">
        <v>1.1637E-2</v>
      </c>
      <c r="D476" s="229">
        <v>0.80673399999999995</v>
      </c>
      <c r="E476" s="229">
        <v>0.97716599999999998</v>
      </c>
      <c r="F476" s="229">
        <v>0.29662899999999998</v>
      </c>
      <c r="G476" s="229">
        <v>5.4711000000000003E-2</v>
      </c>
      <c r="H476" s="230">
        <f>Proj_Inputs!$B$44+(Proj_Inputs!$C$44-Proj_Inputs!$B$44)*B476</f>
        <v>-1.8593600000000002E-2</v>
      </c>
      <c r="I476" s="230">
        <f>Proj_Inputs!$B$45+(Proj_Inputs!$C$45-Proj_Inputs!$B$45)*C476</f>
        <v>-3.9069039999999999E-2</v>
      </c>
      <c r="J476" s="230">
        <f>Proj_Inputs!$B$46+(Proj_Inputs!$C$46-Proj_Inputs!$B$46)*D476</f>
        <v>1.1346800000000018E-2</v>
      </c>
      <c r="K476" s="230">
        <f>Proj_Inputs!$B$47+(Proj_Inputs!$C$47-Proj_Inputs!$B$47)*E476</f>
        <v>0.19429150000000001</v>
      </c>
      <c r="L476" s="230">
        <f>Proj_Inputs!$B$46+(Proj_Inputs!$C$46-Proj_Inputs!$B$46)*F476</f>
        <v>-9.0674199999999996E-2</v>
      </c>
      <c r="M476" s="230">
        <f>Proj_Inputs!$B$47+(Proj_Inputs!$C$47-Proj_Inputs!$B$47)*G476</f>
        <v>-3.632225E-2</v>
      </c>
      <c r="N476" s="231">
        <f>(1+H476)*(Proj_Inputs!$B$20+J476)/Proj_Inputs!$B$20*((Proj_Inputs!$B$21+I476)*(1-Proj_Inputs!$B$24)*NPV_Pirelli!$B$47+NPV_Pirelli!$B$49)+(1+K476)*NPV_Pirelli!$B$48</f>
        <v>4.5416781590761275</v>
      </c>
      <c r="O476" s="231">
        <f>(1+H476)*(Proj_Inputs!$C$20+L476)/Proj_Inputs!$C$20*((Proj_Inputs!$C$21+I476)*(1-Proj_Inputs!$C$24)*NPV_Hankook!$B$47+NPV_Hankook!$B$49)+(1+M476)*NPV_Hankook!$B$48</f>
        <v>-409.89335675358245</v>
      </c>
    </row>
    <row r="477" spans="1:15" x14ac:dyDescent="0.2">
      <c r="A477" s="228">
        <v>453</v>
      </c>
      <c r="B477" s="229">
        <v>0.78223200000000004</v>
      </c>
      <c r="C477" s="229">
        <v>0.53916500000000001</v>
      </c>
      <c r="D477" s="229">
        <v>0.482622</v>
      </c>
      <c r="E477" s="229">
        <v>0.63422699999999999</v>
      </c>
      <c r="F477" s="229">
        <v>0.85897999999999997</v>
      </c>
      <c r="G477" s="229">
        <v>0.72078200000000003</v>
      </c>
      <c r="H477" s="230">
        <f>Proj_Inputs!$B$44+(Proj_Inputs!$C$44-Proj_Inputs!$B$44)*B477</f>
        <v>5.6446400000000008E-2</v>
      </c>
      <c r="I477" s="230">
        <f>Proj_Inputs!$B$45+(Proj_Inputs!$C$45-Proj_Inputs!$B$45)*C477</f>
        <v>3.1332000000000026E-3</v>
      </c>
      <c r="J477" s="230">
        <f>Proj_Inputs!$B$46+(Proj_Inputs!$C$46-Proj_Inputs!$B$46)*D477</f>
        <v>-5.3475599999999984E-2</v>
      </c>
      <c r="K477" s="230">
        <f>Proj_Inputs!$B$47+(Proj_Inputs!$C$47-Proj_Inputs!$B$47)*E477</f>
        <v>0.10855674999999999</v>
      </c>
      <c r="L477" s="230">
        <f>Proj_Inputs!$B$46+(Proj_Inputs!$C$46-Proj_Inputs!$B$46)*F477</f>
        <v>2.179600000000001E-2</v>
      </c>
      <c r="M477" s="230">
        <f>Proj_Inputs!$B$47+(Proj_Inputs!$C$47-Proj_Inputs!$B$47)*G477</f>
        <v>0.13019550000000002</v>
      </c>
      <c r="N477" s="231">
        <f>(1+H477)*(Proj_Inputs!$B$20+J477)/Proj_Inputs!$B$20*((Proj_Inputs!$B$21+I477)*(1-Proj_Inputs!$B$24)*NPV_Pirelli!$B$47+NPV_Pirelli!$B$49)+(1+K477)*NPV_Pirelli!$B$48</f>
        <v>331.45066492174624</v>
      </c>
      <c r="O477" s="231">
        <f>(1+H477)*(Proj_Inputs!$C$20+L477)/Proj_Inputs!$C$20*((Proj_Inputs!$C$21+I477)*(1-Proj_Inputs!$C$24)*NPV_Hankook!$B$47+NPV_Hankook!$B$49)+(1+M477)*NPV_Hankook!$B$48</f>
        <v>-129.89888551469539</v>
      </c>
    </row>
    <row r="478" spans="1:15" x14ac:dyDescent="0.2">
      <c r="A478" s="228">
        <v>454</v>
      </c>
      <c r="B478" s="229">
        <v>0.77216399999999996</v>
      </c>
      <c r="C478" s="229">
        <v>0.68440699999999999</v>
      </c>
      <c r="D478" s="229">
        <v>0.55239700000000003</v>
      </c>
      <c r="E478" s="229">
        <v>0.99658800000000003</v>
      </c>
      <c r="F478" s="229">
        <v>0.67827800000000005</v>
      </c>
      <c r="G478" s="229">
        <v>0.959839</v>
      </c>
      <c r="H478" s="230">
        <f>Proj_Inputs!$B$44+(Proj_Inputs!$C$44-Proj_Inputs!$B$44)*B478</f>
        <v>5.4432800000000003E-2</v>
      </c>
      <c r="I478" s="230">
        <f>Proj_Inputs!$B$45+(Proj_Inputs!$C$45-Proj_Inputs!$B$45)*C478</f>
        <v>1.4752559999999998E-2</v>
      </c>
      <c r="J478" s="230">
        <f>Proj_Inputs!$B$46+(Proj_Inputs!$C$46-Proj_Inputs!$B$46)*D478</f>
        <v>-3.9520599999999989E-2</v>
      </c>
      <c r="K478" s="230">
        <f>Proj_Inputs!$B$47+(Proj_Inputs!$C$47-Proj_Inputs!$B$47)*E478</f>
        <v>0.19914700000000002</v>
      </c>
      <c r="L478" s="230">
        <f>Proj_Inputs!$B$46+(Proj_Inputs!$C$46-Proj_Inputs!$B$46)*F478</f>
        <v>-1.4344399999999979E-2</v>
      </c>
      <c r="M478" s="230">
        <f>Proj_Inputs!$B$47+(Proj_Inputs!$C$47-Proj_Inputs!$B$47)*G478</f>
        <v>0.18995974999999998</v>
      </c>
      <c r="N478" s="231">
        <f>(1+H478)*(Proj_Inputs!$B$20+J478)/Proj_Inputs!$B$20*((Proj_Inputs!$B$21+I478)*(1-Proj_Inputs!$B$24)*NPV_Pirelli!$B$47+NPV_Pirelli!$B$49)+(1+K478)*NPV_Pirelli!$B$48</f>
        <v>350.03325617552468</v>
      </c>
      <c r="O478" s="231">
        <f>(1+H478)*(Proj_Inputs!$C$20+L478)/Proj_Inputs!$C$20*((Proj_Inputs!$C$21+I478)*(1-Proj_Inputs!$C$24)*NPV_Hankook!$B$47+NPV_Hankook!$B$49)+(1+M478)*NPV_Hankook!$B$48</f>
        <v>-165.42159113131106</v>
      </c>
    </row>
    <row r="479" spans="1:15" x14ac:dyDescent="0.2">
      <c r="A479" s="228">
        <v>455</v>
      </c>
      <c r="B479" s="229">
        <v>0.10223400000000001</v>
      </c>
      <c r="C479" s="229">
        <v>0.77290000000000003</v>
      </c>
      <c r="D479" s="229">
        <v>0.70702600000000004</v>
      </c>
      <c r="E479" s="229">
        <v>1.2045E-2</v>
      </c>
      <c r="F479" s="229">
        <v>0.72977300000000001</v>
      </c>
      <c r="G479" s="229">
        <v>0.33399600000000002</v>
      </c>
      <c r="H479" s="230">
        <f>Proj_Inputs!$B$44+(Proj_Inputs!$C$44-Proj_Inputs!$B$44)*B479</f>
        <v>-7.9553200000000004E-2</v>
      </c>
      <c r="I479" s="230">
        <f>Proj_Inputs!$B$45+(Proj_Inputs!$C$45-Proj_Inputs!$B$45)*C479</f>
        <v>2.1832000000000004E-2</v>
      </c>
      <c r="J479" s="230">
        <f>Proj_Inputs!$B$46+(Proj_Inputs!$C$46-Proj_Inputs!$B$46)*D479</f>
        <v>-8.5947999999999858E-3</v>
      </c>
      <c r="K479" s="230">
        <f>Proj_Inputs!$B$47+(Proj_Inputs!$C$47-Proj_Inputs!$B$47)*E479</f>
        <v>-4.6988750000000003E-2</v>
      </c>
      <c r="L479" s="230">
        <f>Proj_Inputs!$B$46+(Proj_Inputs!$C$46-Proj_Inputs!$B$46)*F479</f>
        <v>-4.0453999999999768E-3</v>
      </c>
      <c r="M479" s="230">
        <f>Proj_Inputs!$B$47+(Proj_Inputs!$C$47-Proj_Inputs!$B$47)*G479</f>
        <v>3.3499000000000001E-2</v>
      </c>
      <c r="N479" s="231">
        <f>(1+H479)*(Proj_Inputs!$B$20+J479)/Proj_Inputs!$B$20*((Proj_Inputs!$B$21+I479)*(1-Proj_Inputs!$B$24)*NPV_Pirelli!$B$47+NPV_Pirelli!$B$49)+(1+K479)*NPV_Pirelli!$B$48</f>
        <v>460.03723681654128</v>
      </c>
      <c r="O479" s="231">
        <f>(1+H479)*(Proj_Inputs!$C$20+L479)/Proj_Inputs!$C$20*((Proj_Inputs!$C$21+I479)*(1-Proj_Inputs!$C$24)*NPV_Hankook!$B$47+NPV_Hankook!$B$49)+(1+M479)*NPV_Hankook!$B$48</f>
        <v>-81.461207959475587</v>
      </c>
    </row>
    <row r="480" spans="1:15" x14ac:dyDescent="0.2">
      <c r="A480" s="228">
        <v>456</v>
      </c>
      <c r="B480" s="229">
        <v>0.10301100000000001</v>
      </c>
      <c r="C480" s="229">
        <v>0.52755600000000002</v>
      </c>
      <c r="D480" s="229">
        <v>0.68617099999999998</v>
      </c>
      <c r="E480" s="229">
        <v>0.40499000000000002</v>
      </c>
      <c r="F480" s="229">
        <v>0.54440100000000002</v>
      </c>
      <c r="G480" s="229">
        <v>0.95922799999999997</v>
      </c>
      <c r="H480" s="230">
        <f>Proj_Inputs!$B$44+(Proj_Inputs!$C$44-Proj_Inputs!$B$44)*B480</f>
        <v>-7.9397800000000004E-2</v>
      </c>
      <c r="I480" s="230">
        <f>Proj_Inputs!$B$45+(Proj_Inputs!$C$45-Proj_Inputs!$B$45)*C480</f>
        <v>2.2044800000000017E-3</v>
      </c>
      <c r="J480" s="230">
        <f>Proj_Inputs!$B$46+(Proj_Inputs!$C$46-Proj_Inputs!$B$46)*D480</f>
        <v>-1.2765799999999994E-2</v>
      </c>
      <c r="K480" s="230">
        <f>Proj_Inputs!$B$47+(Proj_Inputs!$C$47-Proj_Inputs!$B$47)*E480</f>
        <v>5.1247500000000001E-2</v>
      </c>
      <c r="L480" s="230">
        <f>Proj_Inputs!$B$46+(Proj_Inputs!$C$46-Proj_Inputs!$B$46)*F480</f>
        <v>-4.1119799999999984E-2</v>
      </c>
      <c r="M480" s="230">
        <f>Proj_Inputs!$B$47+(Proj_Inputs!$C$47-Proj_Inputs!$B$47)*G480</f>
        <v>0.189807</v>
      </c>
      <c r="N480" s="231">
        <f>(1+H480)*(Proj_Inputs!$B$20+J480)/Proj_Inputs!$B$20*((Proj_Inputs!$B$21+I480)*(1-Proj_Inputs!$B$24)*NPV_Pirelli!$B$47+NPV_Pirelli!$B$49)+(1+K480)*NPV_Pirelli!$B$48</f>
        <v>266.93487951840416</v>
      </c>
      <c r="O480" s="231">
        <f>(1+H480)*(Proj_Inputs!$C$20+L480)/Proj_Inputs!$C$20*((Proj_Inputs!$C$21+I480)*(1-Proj_Inputs!$C$24)*NPV_Hankook!$B$47+NPV_Hankook!$B$49)+(1+M480)*NPV_Hankook!$B$48</f>
        <v>-427.66643539003246</v>
      </c>
    </row>
    <row r="481" spans="1:15" x14ac:dyDescent="0.2">
      <c r="A481" s="228">
        <v>457</v>
      </c>
      <c r="B481" s="229">
        <v>0.76242399999999999</v>
      </c>
      <c r="C481" s="229">
        <v>0.29682199999999997</v>
      </c>
      <c r="D481" s="229">
        <v>0.27290500000000001</v>
      </c>
      <c r="E481" s="229">
        <v>0.56097399999999997</v>
      </c>
      <c r="F481" s="229">
        <v>0.60940099999999997</v>
      </c>
      <c r="G481" s="229">
        <v>0.877996</v>
      </c>
      <c r="H481" s="230">
        <f>Proj_Inputs!$B$44+(Proj_Inputs!$C$44-Proj_Inputs!$B$44)*B481</f>
        <v>5.2484799999999998E-2</v>
      </c>
      <c r="I481" s="230">
        <f>Proj_Inputs!$B$45+(Proj_Inputs!$C$45-Proj_Inputs!$B$45)*C481</f>
        <v>-1.6254240000000003E-2</v>
      </c>
      <c r="J481" s="230">
        <f>Proj_Inputs!$B$46+(Proj_Inputs!$C$46-Proj_Inputs!$B$46)*D481</f>
        <v>-9.541899999999999E-2</v>
      </c>
      <c r="K481" s="230">
        <f>Proj_Inputs!$B$47+(Proj_Inputs!$C$47-Proj_Inputs!$B$47)*E481</f>
        <v>9.024349999999999E-2</v>
      </c>
      <c r="L481" s="230">
        <f>Proj_Inputs!$B$46+(Proj_Inputs!$C$46-Proj_Inputs!$B$46)*F481</f>
        <v>-2.81198E-2</v>
      </c>
      <c r="M481" s="230">
        <f>Proj_Inputs!$B$47+(Proj_Inputs!$C$47-Proj_Inputs!$B$47)*G481</f>
        <v>0.16949900000000001</v>
      </c>
      <c r="N481" s="231">
        <f>(1+H481)*(Proj_Inputs!$B$20+J481)/Proj_Inputs!$B$20*((Proj_Inputs!$B$21+I481)*(1-Proj_Inputs!$B$24)*NPV_Pirelli!$B$47+NPV_Pirelli!$B$49)+(1+K481)*NPV_Pirelli!$B$48</f>
        <v>169.02186753322258</v>
      </c>
      <c r="O481" s="231">
        <f>(1+H481)*(Proj_Inputs!$C$20+L481)/Proj_Inputs!$C$20*((Proj_Inputs!$C$21+I481)*(1-Proj_Inputs!$C$24)*NPV_Hankook!$B$47+NPV_Hankook!$B$49)+(1+M481)*NPV_Hankook!$B$48</f>
        <v>-379.45447078938651</v>
      </c>
    </row>
    <row r="482" spans="1:15" x14ac:dyDescent="0.2">
      <c r="A482" s="228">
        <v>458</v>
      </c>
      <c r="B482" s="229">
        <v>2.2889E-2</v>
      </c>
      <c r="C482" s="229">
        <v>7.7653E-2</v>
      </c>
      <c r="D482" s="229">
        <v>0.42915900000000001</v>
      </c>
      <c r="E482" s="229">
        <v>0.319189</v>
      </c>
      <c r="F482" s="229">
        <v>0.27283099999999999</v>
      </c>
      <c r="G482" s="229">
        <v>0.23455400000000001</v>
      </c>
      <c r="H482" s="230">
        <f>Proj_Inputs!$B$44+(Proj_Inputs!$C$44-Proj_Inputs!$B$44)*B482</f>
        <v>-9.5422200000000013E-2</v>
      </c>
      <c r="I482" s="230">
        <f>Proj_Inputs!$B$45+(Proj_Inputs!$C$45-Proj_Inputs!$B$45)*C482</f>
        <v>-3.378776E-2</v>
      </c>
      <c r="J482" s="230">
        <f>Proj_Inputs!$B$46+(Proj_Inputs!$C$46-Proj_Inputs!$B$46)*D482</f>
        <v>-6.4168199999999981E-2</v>
      </c>
      <c r="K482" s="230">
        <f>Proj_Inputs!$B$47+(Proj_Inputs!$C$47-Proj_Inputs!$B$47)*E482</f>
        <v>2.9797249999999997E-2</v>
      </c>
      <c r="L482" s="230">
        <f>Proj_Inputs!$B$46+(Proj_Inputs!$C$46-Proj_Inputs!$B$46)*F482</f>
        <v>-9.5433799999999985E-2</v>
      </c>
      <c r="M482" s="230">
        <f>Proj_Inputs!$B$47+(Proj_Inputs!$C$47-Proj_Inputs!$B$47)*G482</f>
        <v>8.6385000000000003E-3</v>
      </c>
      <c r="N482" s="231">
        <f>(1+H482)*(Proj_Inputs!$B$20+J482)/Proj_Inputs!$B$20*((Proj_Inputs!$B$21+I482)*(1-Proj_Inputs!$B$24)*NPV_Pirelli!$B$47+NPV_Pirelli!$B$49)+(1+K482)*NPV_Pirelli!$B$48</f>
        <v>15.350750574512517</v>
      </c>
      <c r="O482" s="231">
        <f>(1+H482)*(Proj_Inputs!$C$20+L482)/Proj_Inputs!$C$20*((Proj_Inputs!$C$21+I482)*(1-Proj_Inputs!$C$24)*NPV_Hankook!$B$47+NPV_Hankook!$B$49)+(1+M482)*NPV_Hankook!$B$48</f>
        <v>-492.45575627148708</v>
      </c>
    </row>
    <row r="483" spans="1:15" x14ac:dyDescent="0.2">
      <c r="A483" s="228">
        <v>459</v>
      </c>
      <c r="B483" s="229">
        <v>7.9397999999999996E-2</v>
      </c>
      <c r="C483" s="229">
        <v>0.58762899999999996</v>
      </c>
      <c r="D483" s="229">
        <v>0.44846999999999998</v>
      </c>
      <c r="E483" s="229">
        <v>0.80740999999999996</v>
      </c>
      <c r="F483" s="229">
        <v>0.61029500000000003</v>
      </c>
      <c r="G483" s="229">
        <v>7.4788999999999994E-2</v>
      </c>
      <c r="H483" s="230">
        <f>Proj_Inputs!$B$44+(Proj_Inputs!$C$44-Proj_Inputs!$B$44)*B483</f>
        <v>-8.4120400000000012E-2</v>
      </c>
      <c r="I483" s="230">
        <f>Proj_Inputs!$B$45+(Proj_Inputs!$C$45-Proj_Inputs!$B$45)*C483</f>
        <v>7.0103199999999935E-3</v>
      </c>
      <c r="J483" s="230">
        <f>Proj_Inputs!$B$46+(Proj_Inputs!$C$46-Proj_Inputs!$B$46)*D483</f>
        <v>-6.0305999999999998E-2</v>
      </c>
      <c r="K483" s="230">
        <f>Proj_Inputs!$B$47+(Proj_Inputs!$C$47-Proj_Inputs!$B$47)*E483</f>
        <v>0.1518525</v>
      </c>
      <c r="L483" s="230">
        <f>Proj_Inputs!$B$46+(Proj_Inputs!$C$46-Proj_Inputs!$B$46)*F483</f>
        <v>-2.794099999999998E-2</v>
      </c>
      <c r="M483" s="230">
        <f>Proj_Inputs!$B$47+(Proj_Inputs!$C$47-Proj_Inputs!$B$47)*G483</f>
        <v>-3.1302750000000004E-2</v>
      </c>
      <c r="N483" s="231">
        <f>(1+H483)*(Proj_Inputs!$B$20+J483)/Proj_Inputs!$B$20*((Proj_Inputs!$B$21+I483)*(1-Proj_Inputs!$B$24)*NPV_Pirelli!$B$47+NPV_Pirelli!$B$49)+(1+K483)*NPV_Pirelli!$B$48</f>
        <v>148.99837227963519</v>
      </c>
      <c r="O483" s="231">
        <f>(1+H483)*(Proj_Inputs!$C$20+L483)/Proj_Inputs!$C$20*((Proj_Inputs!$C$21+I483)*(1-Proj_Inputs!$C$24)*NPV_Hankook!$B$47+NPV_Hankook!$B$49)+(1+M483)*NPV_Hankook!$B$48</f>
        <v>-131.52553030680576</v>
      </c>
    </row>
    <row r="484" spans="1:15" x14ac:dyDescent="0.2">
      <c r="A484" s="228">
        <v>460</v>
      </c>
      <c r="B484" s="229">
        <v>0.49891200000000002</v>
      </c>
      <c r="C484" s="229">
        <v>8.4064E-2</v>
      </c>
      <c r="D484" s="229">
        <v>1.5739E-2</v>
      </c>
      <c r="E484" s="229">
        <v>0.68281599999999998</v>
      </c>
      <c r="F484" s="229">
        <v>0.60257700000000003</v>
      </c>
      <c r="G484" s="229">
        <v>0.95458500000000002</v>
      </c>
      <c r="H484" s="230">
        <f>Proj_Inputs!$B$44+(Proj_Inputs!$C$44-Proj_Inputs!$B$44)*B484</f>
        <v>-2.1759999999999835E-4</v>
      </c>
      <c r="I484" s="230">
        <f>Proj_Inputs!$B$45+(Proj_Inputs!$C$45-Proj_Inputs!$B$45)*C484</f>
        <v>-3.327488E-2</v>
      </c>
      <c r="J484" s="230">
        <f>Proj_Inputs!$B$46+(Proj_Inputs!$C$46-Proj_Inputs!$B$46)*D484</f>
        <v>-0.14685219999999999</v>
      </c>
      <c r="K484" s="230">
        <f>Proj_Inputs!$B$47+(Proj_Inputs!$C$47-Proj_Inputs!$B$47)*E484</f>
        <v>0.12070399999999999</v>
      </c>
      <c r="L484" s="230">
        <f>Proj_Inputs!$B$46+(Proj_Inputs!$C$46-Proj_Inputs!$B$46)*F484</f>
        <v>-2.9484599999999986E-2</v>
      </c>
      <c r="M484" s="230">
        <f>Proj_Inputs!$B$47+(Proj_Inputs!$C$47-Proj_Inputs!$B$47)*G484</f>
        <v>0.18864625000000002</v>
      </c>
      <c r="N484" s="231">
        <f>(1+H484)*(Proj_Inputs!$B$20+J484)/Proj_Inputs!$B$20*((Proj_Inputs!$B$21+I484)*(1-Proj_Inputs!$B$24)*NPV_Pirelli!$B$47+NPV_Pirelli!$B$49)+(1+K484)*NPV_Pirelli!$B$48</f>
        <v>-57.042693114716371</v>
      </c>
      <c r="O484" s="231">
        <f>(1+H484)*(Proj_Inputs!$C$20+L484)/Proj_Inputs!$C$20*((Proj_Inputs!$C$21+I484)*(1-Proj_Inputs!$C$24)*NPV_Hankook!$B$47+NPV_Hankook!$B$49)+(1+M484)*NPV_Hankook!$B$48</f>
        <v>-565.11133668756327</v>
      </c>
    </row>
    <row r="485" spans="1:15" x14ac:dyDescent="0.2">
      <c r="A485" s="228">
        <v>461</v>
      </c>
      <c r="B485" s="229">
        <v>0.39526</v>
      </c>
      <c r="C485" s="229">
        <v>0.61228099999999996</v>
      </c>
      <c r="D485" s="229">
        <v>0.62794000000000005</v>
      </c>
      <c r="E485" s="229">
        <v>5.4479999999999997E-3</v>
      </c>
      <c r="F485" s="229">
        <v>0.91554599999999997</v>
      </c>
      <c r="G485" s="229">
        <v>0.69032199999999999</v>
      </c>
      <c r="H485" s="230">
        <f>Proj_Inputs!$B$44+(Proj_Inputs!$C$44-Proj_Inputs!$B$44)*B485</f>
        <v>-2.0947999999999994E-2</v>
      </c>
      <c r="I485" s="230">
        <f>Proj_Inputs!$B$45+(Proj_Inputs!$C$45-Proj_Inputs!$B$45)*C485</f>
        <v>8.9824799999999941E-3</v>
      </c>
      <c r="J485" s="230">
        <f>Proj_Inputs!$B$46+(Proj_Inputs!$C$46-Proj_Inputs!$B$46)*D485</f>
        <v>-2.4411999999999989E-2</v>
      </c>
      <c r="K485" s="230">
        <f>Proj_Inputs!$B$47+(Proj_Inputs!$C$47-Proj_Inputs!$B$47)*E485</f>
        <v>-4.8638000000000001E-2</v>
      </c>
      <c r="L485" s="230">
        <f>Proj_Inputs!$B$46+(Proj_Inputs!$C$46-Proj_Inputs!$B$46)*F485</f>
        <v>3.3109200000000005E-2</v>
      </c>
      <c r="M485" s="230">
        <f>Proj_Inputs!$B$47+(Proj_Inputs!$C$47-Proj_Inputs!$B$47)*G485</f>
        <v>0.1225805</v>
      </c>
      <c r="N485" s="231">
        <f>(1+H485)*(Proj_Inputs!$B$20+J485)/Proj_Inputs!$B$20*((Proj_Inputs!$B$21+I485)*(1-Proj_Inputs!$B$24)*NPV_Pirelli!$B$47+NPV_Pirelli!$B$49)+(1+K485)*NPV_Pirelli!$B$48</f>
        <v>439.88794752969079</v>
      </c>
      <c r="O485" s="231">
        <f>(1+H485)*(Proj_Inputs!$C$20+L485)/Proj_Inputs!$C$20*((Proj_Inputs!$C$21+I485)*(1-Proj_Inputs!$C$24)*NPV_Hankook!$B$47+NPV_Hankook!$B$49)+(1+M485)*NPV_Hankook!$B$48</f>
        <v>-153.67584229580075</v>
      </c>
    </row>
    <row r="486" spans="1:15" x14ac:dyDescent="0.2">
      <c r="A486" s="228">
        <v>462</v>
      </c>
      <c r="B486" s="229">
        <v>0.12806400000000001</v>
      </c>
      <c r="C486" s="229">
        <v>0.34477799999999997</v>
      </c>
      <c r="D486" s="229">
        <v>0.23963300000000001</v>
      </c>
      <c r="E486" s="229">
        <v>0.38801799999999997</v>
      </c>
      <c r="F486" s="229">
        <v>0.97851299999999997</v>
      </c>
      <c r="G486" s="229">
        <v>0.221363</v>
      </c>
      <c r="H486" s="230">
        <f>Proj_Inputs!$B$44+(Proj_Inputs!$C$44-Proj_Inputs!$B$44)*B486</f>
        <v>-7.4387200000000001E-2</v>
      </c>
      <c r="I486" s="230">
        <f>Proj_Inputs!$B$45+(Proj_Inputs!$C$45-Proj_Inputs!$B$45)*C486</f>
        <v>-1.2417760000000003E-2</v>
      </c>
      <c r="J486" s="230">
        <f>Proj_Inputs!$B$46+(Proj_Inputs!$C$46-Proj_Inputs!$B$46)*D486</f>
        <v>-0.10207339999999998</v>
      </c>
      <c r="K486" s="230">
        <f>Proj_Inputs!$B$47+(Proj_Inputs!$C$47-Proj_Inputs!$B$47)*E486</f>
        <v>4.7004499999999991E-2</v>
      </c>
      <c r="L486" s="230">
        <f>Proj_Inputs!$B$46+(Proj_Inputs!$C$46-Proj_Inputs!$B$46)*F486</f>
        <v>4.570260000000001E-2</v>
      </c>
      <c r="M486" s="230">
        <f>Proj_Inputs!$B$47+(Proj_Inputs!$C$47-Proj_Inputs!$B$47)*G486</f>
        <v>5.3407499999999983E-3</v>
      </c>
      <c r="N486" s="231">
        <f>(1+H486)*(Proj_Inputs!$B$20+J486)/Proj_Inputs!$B$20*((Proj_Inputs!$B$21+I486)*(1-Proj_Inputs!$B$24)*NPV_Pirelli!$B$47+NPV_Pirelli!$B$49)+(1+K486)*NPV_Pirelli!$B$48</f>
        <v>91.122036531971503</v>
      </c>
      <c r="O486" s="231">
        <f>(1+H486)*(Proj_Inputs!$C$20+L486)/Proj_Inputs!$C$20*((Proj_Inputs!$C$21+I486)*(1-Proj_Inputs!$C$24)*NPV_Hankook!$B$47+NPV_Hankook!$B$49)+(1+M486)*NPV_Hankook!$B$48</f>
        <v>-208.12330746866132</v>
      </c>
    </row>
    <row r="487" spans="1:15" x14ac:dyDescent="0.2">
      <c r="A487" s="228">
        <v>463</v>
      </c>
      <c r="B487" s="229">
        <v>0.57521</v>
      </c>
      <c r="C487" s="229">
        <v>0.78155799999999997</v>
      </c>
      <c r="D487" s="229">
        <v>0.45724999999999999</v>
      </c>
      <c r="E487" s="229">
        <v>0.119961</v>
      </c>
      <c r="F487" s="229">
        <v>0.54444700000000001</v>
      </c>
      <c r="G487" s="229">
        <v>0.26260299999999998</v>
      </c>
      <c r="H487" s="230">
        <f>Proj_Inputs!$B$44+(Proj_Inputs!$C$44-Proj_Inputs!$B$44)*B487</f>
        <v>1.5042E-2</v>
      </c>
      <c r="I487" s="230">
        <f>Proj_Inputs!$B$45+(Proj_Inputs!$C$45-Proj_Inputs!$B$45)*C487</f>
        <v>2.2524639999999992E-2</v>
      </c>
      <c r="J487" s="230">
        <f>Proj_Inputs!$B$46+(Proj_Inputs!$C$46-Proj_Inputs!$B$46)*D487</f>
        <v>-5.8549999999999991E-2</v>
      </c>
      <c r="K487" s="230">
        <f>Proj_Inputs!$B$47+(Proj_Inputs!$C$47-Proj_Inputs!$B$47)*E487</f>
        <v>-2.0009750000000003E-2</v>
      </c>
      <c r="L487" s="230">
        <f>Proj_Inputs!$B$46+(Proj_Inputs!$C$46-Proj_Inputs!$B$46)*F487</f>
        <v>-4.1110599999999983E-2</v>
      </c>
      <c r="M487" s="230">
        <f>Proj_Inputs!$B$47+(Proj_Inputs!$C$47-Proj_Inputs!$B$47)*G487</f>
        <v>1.5650749999999991E-2</v>
      </c>
      <c r="N487" s="231">
        <f>(1+H487)*(Proj_Inputs!$B$20+J487)/Proj_Inputs!$B$20*((Proj_Inputs!$B$21+I487)*(1-Proj_Inputs!$B$24)*NPV_Pirelli!$B$47+NPV_Pirelli!$B$49)+(1+K487)*NPV_Pirelli!$B$48</f>
        <v>492.46413289379359</v>
      </c>
      <c r="O487" s="231">
        <f>(1+H487)*(Proj_Inputs!$C$20+L487)/Proj_Inputs!$C$20*((Proj_Inputs!$C$21+I487)*(1-Proj_Inputs!$C$24)*NPV_Hankook!$B$47+NPV_Hankook!$B$49)+(1+M487)*NPV_Hankook!$B$48</f>
        <v>7.9543493004819084</v>
      </c>
    </row>
    <row r="488" spans="1:15" x14ac:dyDescent="0.2">
      <c r="A488" s="228">
        <v>464</v>
      </c>
      <c r="B488" s="229">
        <v>0.55146399999999995</v>
      </c>
      <c r="C488" s="229">
        <v>0.43828400000000001</v>
      </c>
      <c r="D488" s="229">
        <v>0.81246200000000002</v>
      </c>
      <c r="E488" s="229">
        <v>0.71172999999999997</v>
      </c>
      <c r="F488" s="229">
        <v>0.99607999999999997</v>
      </c>
      <c r="G488" s="229">
        <v>0.57106800000000002</v>
      </c>
      <c r="H488" s="230">
        <f>Proj_Inputs!$B$44+(Proj_Inputs!$C$44-Proj_Inputs!$B$44)*B488</f>
        <v>1.0292799999999991E-2</v>
      </c>
      <c r="I488" s="230">
        <f>Proj_Inputs!$B$45+(Proj_Inputs!$C$45-Proj_Inputs!$B$45)*C488</f>
        <v>-4.9372800000000022E-3</v>
      </c>
      <c r="J488" s="230">
        <f>Proj_Inputs!$B$46+(Proj_Inputs!$C$46-Proj_Inputs!$B$46)*D488</f>
        <v>1.2492400000000015E-2</v>
      </c>
      <c r="K488" s="230">
        <f>Proj_Inputs!$B$47+(Proj_Inputs!$C$47-Proj_Inputs!$B$47)*E488</f>
        <v>0.1279325</v>
      </c>
      <c r="L488" s="230">
        <f>Proj_Inputs!$B$46+(Proj_Inputs!$C$46-Proj_Inputs!$B$46)*F488</f>
        <v>4.921600000000001E-2</v>
      </c>
      <c r="M488" s="230">
        <f>Proj_Inputs!$B$47+(Proj_Inputs!$C$47-Proj_Inputs!$B$47)*G488</f>
        <v>9.2767000000000002E-2</v>
      </c>
      <c r="N488" s="231">
        <f>(1+H488)*(Proj_Inputs!$B$20+J488)/Proj_Inputs!$B$20*((Proj_Inputs!$B$21+I488)*(1-Proj_Inputs!$B$24)*NPV_Pirelli!$B$47+NPV_Pirelli!$B$49)+(1+K488)*NPV_Pirelli!$B$48</f>
        <v>302.20544309288505</v>
      </c>
      <c r="O488" s="231">
        <f>(1+H488)*(Proj_Inputs!$C$20+L488)/Proj_Inputs!$C$20*((Proj_Inputs!$C$21+I488)*(1-Proj_Inputs!$C$24)*NPV_Hankook!$B$47+NPV_Hankook!$B$49)+(1+M488)*NPV_Hankook!$B$48</f>
        <v>-163.34975242990981</v>
      </c>
    </row>
    <row r="489" spans="1:15" x14ac:dyDescent="0.2">
      <c r="A489" s="228">
        <v>465</v>
      </c>
      <c r="B489" s="229">
        <v>0.926041</v>
      </c>
      <c r="C489" s="229">
        <v>0.59951699999999997</v>
      </c>
      <c r="D489" s="229">
        <v>0.400619</v>
      </c>
      <c r="E489" s="229">
        <v>0.52310699999999999</v>
      </c>
      <c r="F489" s="229">
        <v>0.42375000000000002</v>
      </c>
      <c r="G489" s="229">
        <v>0.48146499999999998</v>
      </c>
      <c r="H489" s="230">
        <f>Proj_Inputs!$B$44+(Proj_Inputs!$C$44-Proj_Inputs!$B$44)*B489</f>
        <v>8.5208200000000012E-2</v>
      </c>
      <c r="I489" s="230">
        <f>Proj_Inputs!$B$45+(Proj_Inputs!$C$45-Proj_Inputs!$B$45)*C489</f>
        <v>7.9613600000000007E-3</v>
      </c>
      <c r="J489" s="230">
        <f>Proj_Inputs!$B$46+(Proj_Inputs!$C$46-Proj_Inputs!$B$46)*D489</f>
        <v>-6.9876199999999986E-2</v>
      </c>
      <c r="K489" s="230">
        <f>Proj_Inputs!$B$47+(Proj_Inputs!$C$47-Proj_Inputs!$B$47)*E489</f>
        <v>8.0776749999999994E-2</v>
      </c>
      <c r="L489" s="230">
        <f>Proj_Inputs!$B$46+(Proj_Inputs!$C$46-Proj_Inputs!$B$46)*F489</f>
        <v>-6.5249999999999989E-2</v>
      </c>
      <c r="M489" s="230">
        <f>Proj_Inputs!$B$47+(Proj_Inputs!$C$47-Proj_Inputs!$B$47)*G489</f>
        <v>7.0366249999999991E-2</v>
      </c>
      <c r="N489" s="231">
        <f>(1+H489)*(Proj_Inputs!$B$20+J489)/Proj_Inputs!$B$20*((Proj_Inputs!$B$21+I489)*(1-Proj_Inputs!$B$24)*NPV_Pirelli!$B$47+NPV_Pirelli!$B$49)+(1+K489)*NPV_Pirelli!$B$48</f>
        <v>392.07496226853641</v>
      </c>
      <c r="O489" s="231">
        <f>(1+H489)*(Proj_Inputs!$C$20+L489)/Proj_Inputs!$C$20*((Proj_Inputs!$C$21+I489)*(1-Proj_Inputs!$C$24)*NPV_Hankook!$B$47+NPV_Hankook!$B$49)+(1+M489)*NPV_Hankook!$B$48</f>
        <v>-109.67080206460582</v>
      </c>
    </row>
    <row r="490" spans="1:15" x14ac:dyDescent="0.2">
      <c r="A490" s="228">
        <v>466</v>
      </c>
      <c r="B490" s="229">
        <v>0.26146999999999998</v>
      </c>
      <c r="C490" s="229">
        <v>0.143843</v>
      </c>
      <c r="D490" s="229">
        <v>0.15107999999999999</v>
      </c>
      <c r="E490" s="229">
        <v>0.27470699999999998</v>
      </c>
      <c r="F490" s="229">
        <v>0.91332999999999998</v>
      </c>
      <c r="G490" s="229">
        <v>0.20531099999999999</v>
      </c>
      <c r="H490" s="230">
        <f>Proj_Inputs!$B$44+(Proj_Inputs!$C$44-Proj_Inputs!$B$44)*B490</f>
        <v>-4.7706000000000005E-2</v>
      </c>
      <c r="I490" s="230">
        <f>Proj_Inputs!$B$45+(Proj_Inputs!$C$45-Proj_Inputs!$B$45)*C490</f>
        <v>-2.849256E-2</v>
      </c>
      <c r="J490" s="230">
        <f>Proj_Inputs!$B$46+(Proj_Inputs!$C$46-Proj_Inputs!$B$46)*D490</f>
        <v>-0.119784</v>
      </c>
      <c r="K490" s="230">
        <f>Proj_Inputs!$B$47+(Proj_Inputs!$C$47-Proj_Inputs!$B$47)*E490</f>
        <v>1.8676749999999992E-2</v>
      </c>
      <c r="L490" s="230">
        <f>Proj_Inputs!$B$46+(Proj_Inputs!$C$46-Proj_Inputs!$B$46)*F490</f>
        <v>3.2666000000000001E-2</v>
      </c>
      <c r="M490" s="230">
        <f>Proj_Inputs!$B$47+(Proj_Inputs!$C$47-Proj_Inputs!$B$47)*G490</f>
        <v>1.3277499999999956E-3</v>
      </c>
      <c r="N490" s="231">
        <f>(1+H490)*(Proj_Inputs!$B$20+J490)/Proj_Inputs!$B$20*((Proj_Inputs!$B$21+I490)*(1-Proj_Inputs!$B$24)*NPV_Pirelli!$B$47+NPV_Pirelli!$B$49)+(1+K490)*NPV_Pirelli!$B$48</f>
        <v>36.850028632263275</v>
      </c>
      <c r="O490" s="231">
        <f>(1+H490)*(Proj_Inputs!$C$20+L490)/Proj_Inputs!$C$20*((Proj_Inputs!$C$21+I490)*(1-Proj_Inputs!$C$24)*NPV_Hankook!$B$47+NPV_Hankook!$B$49)+(1+M490)*NPV_Hankook!$B$48</f>
        <v>-298.09290615852785</v>
      </c>
    </row>
    <row r="491" spans="1:15" x14ac:dyDescent="0.2">
      <c r="A491" s="228">
        <v>467</v>
      </c>
      <c r="B491" s="229">
        <v>0.66882299999999995</v>
      </c>
      <c r="C491" s="229">
        <v>0.25388100000000002</v>
      </c>
      <c r="D491" s="229">
        <v>0.61009000000000002</v>
      </c>
      <c r="E491" s="229">
        <v>0.11458599999999999</v>
      </c>
      <c r="F491" s="229">
        <v>0.84077299999999999</v>
      </c>
      <c r="G491" s="229">
        <v>0.81503700000000001</v>
      </c>
      <c r="H491" s="230">
        <f>Proj_Inputs!$B$44+(Proj_Inputs!$C$44-Proj_Inputs!$B$44)*B491</f>
        <v>3.3764599999999978E-2</v>
      </c>
      <c r="I491" s="230">
        <f>Proj_Inputs!$B$45+(Proj_Inputs!$C$45-Proj_Inputs!$B$45)*C491</f>
        <v>-1.9689519999999999E-2</v>
      </c>
      <c r="J491" s="230">
        <f>Proj_Inputs!$B$46+(Proj_Inputs!$C$46-Proj_Inputs!$B$46)*D491</f>
        <v>-2.7981999999999979E-2</v>
      </c>
      <c r="K491" s="230">
        <f>Proj_Inputs!$B$47+(Proj_Inputs!$C$47-Proj_Inputs!$B$47)*E491</f>
        <v>-2.1353500000000004E-2</v>
      </c>
      <c r="L491" s="230">
        <f>Proj_Inputs!$B$46+(Proj_Inputs!$C$46-Proj_Inputs!$B$46)*F491</f>
        <v>1.8154600000000021E-2</v>
      </c>
      <c r="M491" s="230">
        <f>Proj_Inputs!$B$47+(Proj_Inputs!$C$47-Proj_Inputs!$B$47)*G491</f>
        <v>0.15375925000000001</v>
      </c>
      <c r="N491" s="231">
        <f>(1+H491)*(Proj_Inputs!$B$20+J491)/Proj_Inputs!$B$20*((Proj_Inputs!$B$21+I491)*(1-Proj_Inputs!$B$24)*NPV_Pirelli!$B$47+NPV_Pirelli!$B$49)+(1+K491)*NPV_Pirelli!$B$48</f>
        <v>302.09253686807085</v>
      </c>
      <c r="O491" s="231">
        <f>(1+H491)*(Proj_Inputs!$C$20+L491)/Proj_Inputs!$C$20*((Proj_Inputs!$C$21+I491)*(1-Proj_Inputs!$C$24)*NPV_Hankook!$B$47+NPV_Hankook!$B$49)+(1+M491)*NPV_Hankook!$B$48</f>
        <v>-352.28056809956183</v>
      </c>
    </row>
    <row r="492" spans="1:15" x14ac:dyDescent="0.2">
      <c r="A492" s="228">
        <v>468</v>
      </c>
      <c r="B492" s="229">
        <v>0.85291499999999998</v>
      </c>
      <c r="C492" s="229">
        <v>0.124374</v>
      </c>
      <c r="D492" s="229">
        <v>0.311413</v>
      </c>
      <c r="E492" s="229">
        <v>0.66994500000000001</v>
      </c>
      <c r="F492" s="229">
        <v>0.303647</v>
      </c>
      <c r="G492" s="229">
        <v>0.32318200000000002</v>
      </c>
      <c r="H492" s="230">
        <f>Proj_Inputs!$B$44+(Proj_Inputs!$C$44-Proj_Inputs!$B$44)*B492</f>
        <v>7.0583000000000007E-2</v>
      </c>
      <c r="I492" s="230">
        <f>Proj_Inputs!$B$45+(Proj_Inputs!$C$45-Proj_Inputs!$B$45)*C492</f>
        <v>-3.005008E-2</v>
      </c>
      <c r="J492" s="230">
        <f>Proj_Inputs!$B$46+(Proj_Inputs!$C$46-Proj_Inputs!$B$46)*D492</f>
        <v>-8.7717400000000001E-2</v>
      </c>
      <c r="K492" s="230">
        <f>Proj_Inputs!$B$47+(Proj_Inputs!$C$47-Proj_Inputs!$B$47)*E492</f>
        <v>0.11748625</v>
      </c>
      <c r="L492" s="230">
        <f>Proj_Inputs!$B$46+(Proj_Inputs!$C$46-Proj_Inputs!$B$46)*F492</f>
        <v>-8.9270599999999992E-2</v>
      </c>
      <c r="M492" s="230">
        <f>Proj_Inputs!$B$47+(Proj_Inputs!$C$47-Proj_Inputs!$B$47)*G492</f>
        <v>3.0795500000000003E-2</v>
      </c>
      <c r="N492" s="231">
        <f>(1+H492)*(Proj_Inputs!$B$20+J492)/Proj_Inputs!$B$20*((Proj_Inputs!$B$21+I492)*(1-Proj_Inputs!$B$24)*NPV_Pirelli!$B$47+NPV_Pirelli!$B$49)+(1+K492)*NPV_Pirelli!$B$48</f>
        <v>92.78315311018082</v>
      </c>
      <c r="O492" s="231">
        <f>(1+H492)*(Proj_Inputs!$C$20+L492)/Proj_Inputs!$C$20*((Proj_Inputs!$C$21+I492)*(1-Proj_Inputs!$C$24)*NPV_Hankook!$B$47+NPV_Hankook!$B$49)+(1+M492)*NPV_Hankook!$B$48</f>
        <v>-362.39848445005805</v>
      </c>
    </row>
    <row r="493" spans="1:15" x14ac:dyDescent="0.2">
      <c r="A493" s="228">
        <v>469</v>
      </c>
      <c r="B493" s="229">
        <v>0.12534300000000001</v>
      </c>
      <c r="C493" s="229">
        <v>0.71886499999999998</v>
      </c>
      <c r="D493" s="229">
        <v>0.97124299999999997</v>
      </c>
      <c r="E493" s="229">
        <v>0.50083900000000003</v>
      </c>
      <c r="F493" s="229">
        <v>0.28419699999999998</v>
      </c>
      <c r="G493" s="229">
        <v>0.110434</v>
      </c>
      <c r="H493" s="230">
        <f>Proj_Inputs!$B$44+(Proj_Inputs!$C$44-Proj_Inputs!$B$44)*B493</f>
        <v>-7.4931400000000009E-2</v>
      </c>
      <c r="I493" s="230">
        <f>Proj_Inputs!$B$45+(Proj_Inputs!$C$45-Proj_Inputs!$B$45)*C493</f>
        <v>1.7509199999999996E-2</v>
      </c>
      <c r="J493" s="230">
        <f>Proj_Inputs!$B$46+(Proj_Inputs!$C$46-Proj_Inputs!$B$46)*D493</f>
        <v>4.4248599999999999E-2</v>
      </c>
      <c r="K493" s="230">
        <f>Proj_Inputs!$B$47+(Proj_Inputs!$C$47-Proj_Inputs!$B$47)*E493</f>
        <v>7.5209750000000006E-2</v>
      </c>
      <c r="L493" s="230">
        <f>Proj_Inputs!$B$46+(Proj_Inputs!$C$46-Proj_Inputs!$B$46)*F493</f>
        <v>-9.3160599999999996E-2</v>
      </c>
      <c r="M493" s="230">
        <f>Proj_Inputs!$B$47+(Proj_Inputs!$C$47-Proj_Inputs!$B$47)*G493</f>
        <v>-2.2391500000000002E-2</v>
      </c>
      <c r="N493" s="231">
        <f>(1+H493)*(Proj_Inputs!$B$20+J493)/Proj_Inputs!$B$20*((Proj_Inputs!$B$21+I493)*(1-Proj_Inputs!$B$24)*NPV_Pirelli!$B$47+NPV_Pirelli!$B$49)+(1+K493)*NPV_Pirelli!$B$48</f>
        <v>416.00076619597769</v>
      </c>
      <c r="O493" s="231">
        <f>(1+H493)*(Proj_Inputs!$C$20+L493)/Proj_Inputs!$C$20*((Proj_Inputs!$C$21+I493)*(1-Proj_Inputs!$C$24)*NPV_Hankook!$B$47+NPV_Hankook!$B$49)+(1+M493)*NPV_Hankook!$B$48</f>
        <v>-147.42435075843377</v>
      </c>
    </row>
    <row r="494" spans="1:15" x14ac:dyDescent="0.2">
      <c r="A494" s="228">
        <v>470</v>
      </c>
      <c r="B494" s="229">
        <v>0.95274099999999995</v>
      </c>
      <c r="C494" s="229">
        <v>0.44034699999999999</v>
      </c>
      <c r="D494" s="229">
        <v>0.40196399999999999</v>
      </c>
      <c r="E494" s="229">
        <v>0.289821</v>
      </c>
      <c r="F494" s="229">
        <v>0.32461800000000002</v>
      </c>
      <c r="G494" s="229">
        <v>0.64757900000000002</v>
      </c>
      <c r="H494" s="230">
        <f>Proj_Inputs!$B$44+(Proj_Inputs!$C$44-Proj_Inputs!$B$44)*B494</f>
        <v>9.0548199999999995E-2</v>
      </c>
      <c r="I494" s="230">
        <f>Proj_Inputs!$B$45+(Proj_Inputs!$C$45-Proj_Inputs!$B$45)*C494</f>
        <v>-4.772240000000004E-3</v>
      </c>
      <c r="J494" s="230">
        <f>Proj_Inputs!$B$46+(Proj_Inputs!$C$46-Proj_Inputs!$B$46)*D494</f>
        <v>-6.9607199999999994E-2</v>
      </c>
      <c r="K494" s="230">
        <f>Proj_Inputs!$B$47+(Proj_Inputs!$C$47-Proj_Inputs!$B$47)*E494</f>
        <v>2.2455249999999996E-2</v>
      </c>
      <c r="L494" s="230">
        <f>Proj_Inputs!$B$46+(Proj_Inputs!$C$46-Proj_Inputs!$B$46)*F494</f>
        <v>-8.5076399999999983E-2</v>
      </c>
      <c r="M494" s="230">
        <f>Proj_Inputs!$B$47+(Proj_Inputs!$C$47-Proj_Inputs!$B$47)*G494</f>
        <v>0.11189475</v>
      </c>
      <c r="N494" s="231">
        <f>(1+H494)*(Proj_Inputs!$B$20+J494)/Proj_Inputs!$B$20*((Proj_Inputs!$B$21+I494)*(1-Proj_Inputs!$B$24)*NPV_Pirelli!$B$47+NPV_Pirelli!$B$49)+(1+K494)*NPV_Pirelli!$B$48</f>
        <v>365.31862857513897</v>
      </c>
      <c r="O494" s="231">
        <f>(1+H494)*(Proj_Inputs!$C$20+L494)/Proj_Inputs!$C$20*((Proj_Inputs!$C$21+I494)*(1-Proj_Inputs!$C$24)*NPV_Hankook!$B$47+NPV_Hankook!$B$49)+(1+M494)*NPV_Hankook!$B$48</f>
        <v>-265.66717159387053</v>
      </c>
    </row>
    <row r="495" spans="1:15" x14ac:dyDescent="0.2">
      <c r="A495" s="228">
        <v>471</v>
      </c>
      <c r="B495" s="229">
        <v>0.63335900000000001</v>
      </c>
      <c r="C495" s="229">
        <v>0.74708799999999997</v>
      </c>
      <c r="D495" s="229">
        <v>0.44405800000000001</v>
      </c>
      <c r="E495" s="229">
        <v>0.98660999999999999</v>
      </c>
      <c r="F495" s="229">
        <v>0.40196100000000001</v>
      </c>
      <c r="G495" s="229">
        <v>0.24412800000000001</v>
      </c>
      <c r="H495" s="230">
        <f>Proj_Inputs!$B$44+(Proj_Inputs!$C$44-Proj_Inputs!$B$44)*B495</f>
        <v>2.6671799999999996E-2</v>
      </c>
      <c r="I495" s="230">
        <f>Proj_Inputs!$B$45+(Proj_Inputs!$C$45-Proj_Inputs!$B$45)*C495</f>
        <v>1.976704E-2</v>
      </c>
      <c r="J495" s="230">
        <f>Proj_Inputs!$B$46+(Proj_Inputs!$C$46-Proj_Inputs!$B$46)*D495</f>
        <v>-6.118839999999999E-2</v>
      </c>
      <c r="K495" s="230">
        <f>Proj_Inputs!$B$47+(Proj_Inputs!$C$47-Proj_Inputs!$B$47)*E495</f>
        <v>0.19665250000000001</v>
      </c>
      <c r="L495" s="230">
        <f>Proj_Inputs!$B$46+(Proj_Inputs!$C$46-Proj_Inputs!$B$46)*F495</f>
        <v>-6.9607799999999984E-2</v>
      </c>
      <c r="M495" s="230">
        <f>Proj_Inputs!$B$47+(Proj_Inputs!$C$47-Proj_Inputs!$B$47)*G495</f>
        <v>1.1032E-2</v>
      </c>
      <c r="N495" s="231">
        <f>(1+H495)*(Proj_Inputs!$B$20+J495)/Proj_Inputs!$B$20*((Proj_Inputs!$B$21+I495)*(1-Proj_Inputs!$B$24)*NPV_Pirelli!$B$47+NPV_Pirelli!$B$49)+(1+K495)*NPV_Pirelli!$B$48</f>
        <v>315.81752357399785</v>
      </c>
      <c r="O495" s="231">
        <f>(1+H495)*(Proj_Inputs!$C$20+L495)/Proj_Inputs!$C$20*((Proj_Inputs!$C$21+I495)*(1-Proj_Inputs!$C$24)*NPV_Hankook!$B$47+NPV_Hankook!$B$49)+(1+M495)*NPV_Hankook!$B$48</f>
        <v>-30.863786477170379</v>
      </c>
    </row>
    <row r="496" spans="1:15" x14ac:dyDescent="0.2">
      <c r="A496" s="228">
        <v>472</v>
      </c>
      <c r="B496" s="229">
        <v>0.42237999999999998</v>
      </c>
      <c r="C496" s="229">
        <v>0.71879700000000002</v>
      </c>
      <c r="D496" s="229">
        <v>0.69863299999999995</v>
      </c>
      <c r="E496" s="229">
        <v>0.86173299999999997</v>
      </c>
      <c r="F496" s="229">
        <v>0.40381099999999998</v>
      </c>
      <c r="G496" s="229">
        <v>0.551172</v>
      </c>
      <c r="H496" s="230">
        <f>Proj_Inputs!$B$44+(Proj_Inputs!$C$44-Proj_Inputs!$B$44)*B496</f>
        <v>-1.552400000000001E-2</v>
      </c>
      <c r="I496" s="230">
        <f>Proj_Inputs!$B$45+(Proj_Inputs!$C$45-Proj_Inputs!$B$45)*C496</f>
        <v>1.750376E-2</v>
      </c>
      <c r="J496" s="230">
        <f>Proj_Inputs!$B$46+(Proj_Inputs!$C$46-Proj_Inputs!$B$46)*D496</f>
        <v>-1.0273399999999988E-2</v>
      </c>
      <c r="K496" s="230">
        <f>Proj_Inputs!$B$47+(Proj_Inputs!$C$47-Proj_Inputs!$B$47)*E496</f>
        <v>0.16543324999999998</v>
      </c>
      <c r="L496" s="230">
        <f>Proj_Inputs!$B$46+(Proj_Inputs!$C$46-Proj_Inputs!$B$46)*F496</f>
        <v>-6.9237799999999988E-2</v>
      </c>
      <c r="M496" s="230">
        <f>Proj_Inputs!$B$47+(Proj_Inputs!$C$47-Proj_Inputs!$B$47)*G496</f>
        <v>8.7792999999999996E-2</v>
      </c>
      <c r="N496" s="231">
        <f>(1+H496)*(Proj_Inputs!$B$20+J496)/Proj_Inputs!$B$20*((Proj_Inputs!$B$21+I496)*(1-Proj_Inputs!$B$24)*NPV_Pirelli!$B$47+NPV_Pirelli!$B$49)+(1+K496)*NPV_Pirelli!$B$48</f>
        <v>348.34096193763435</v>
      </c>
      <c r="O496" s="231">
        <f>(1+H496)*(Proj_Inputs!$C$20+L496)/Proj_Inputs!$C$20*((Proj_Inputs!$C$21+I496)*(1-Proj_Inputs!$C$24)*NPV_Hankook!$B$47+NPV_Hankook!$B$49)+(1+M496)*NPV_Hankook!$B$48</f>
        <v>-180.83664671300517</v>
      </c>
    </row>
    <row r="497" spans="1:15" x14ac:dyDescent="0.2">
      <c r="A497" s="228">
        <v>473</v>
      </c>
      <c r="B497" s="229">
        <v>0.58779599999999999</v>
      </c>
      <c r="C497" s="229">
        <v>5.8770999999999997E-2</v>
      </c>
      <c r="D497" s="229">
        <v>0.92571099999999995</v>
      </c>
      <c r="E497" s="229">
        <v>0.88146400000000003</v>
      </c>
      <c r="F497" s="229">
        <v>0.84480999999999995</v>
      </c>
      <c r="G497" s="229">
        <v>0.45170500000000002</v>
      </c>
      <c r="H497" s="230">
        <f>Proj_Inputs!$B$44+(Proj_Inputs!$C$44-Proj_Inputs!$B$44)*B497</f>
        <v>1.7559199999999997E-2</v>
      </c>
      <c r="I497" s="230">
        <f>Proj_Inputs!$B$45+(Proj_Inputs!$C$45-Proj_Inputs!$B$45)*C497</f>
        <v>-3.5298320000000001E-2</v>
      </c>
      <c r="J497" s="230">
        <f>Proj_Inputs!$B$46+(Proj_Inputs!$C$46-Proj_Inputs!$B$46)*D497</f>
        <v>3.5142200000000012E-2</v>
      </c>
      <c r="K497" s="230">
        <f>Proj_Inputs!$B$47+(Proj_Inputs!$C$47-Proj_Inputs!$B$47)*E497</f>
        <v>0.17036600000000002</v>
      </c>
      <c r="L497" s="230">
        <f>Proj_Inputs!$B$46+(Proj_Inputs!$C$46-Proj_Inputs!$B$46)*F497</f>
        <v>1.8962000000000007E-2</v>
      </c>
      <c r="M497" s="230">
        <f>Proj_Inputs!$B$47+(Proj_Inputs!$C$47-Proj_Inputs!$B$47)*G497</f>
        <v>6.2926250000000003E-2</v>
      </c>
      <c r="N497" s="231">
        <f>(1+H497)*(Proj_Inputs!$B$20+J497)/Proj_Inputs!$B$20*((Proj_Inputs!$B$21+I497)*(1-Proj_Inputs!$B$24)*NPV_Pirelli!$B$47+NPV_Pirelli!$B$49)+(1+K497)*NPV_Pirelli!$B$48</f>
        <v>108.52851936986576</v>
      </c>
      <c r="O497" s="231">
        <f>(1+H497)*(Proj_Inputs!$C$20+L497)/Proj_Inputs!$C$20*((Proj_Inputs!$C$21+I497)*(1-Proj_Inputs!$C$24)*NPV_Hankook!$B$47+NPV_Hankook!$B$49)+(1+M497)*NPV_Hankook!$B$48</f>
        <v>-372.41622589268331</v>
      </c>
    </row>
    <row r="498" spans="1:15" x14ac:dyDescent="0.2">
      <c r="A498" s="228">
        <v>474</v>
      </c>
      <c r="B498" s="229">
        <v>0.82841900000000002</v>
      </c>
      <c r="C498" s="229">
        <v>0.59603899999999999</v>
      </c>
      <c r="D498" s="229">
        <v>0.70125300000000002</v>
      </c>
      <c r="E498" s="229">
        <v>0.97562099999999996</v>
      </c>
      <c r="F498" s="229">
        <v>0.43018400000000001</v>
      </c>
      <c r="G498" s="229">
        <v>0.30411700000000003</v>
      </c>
      <c r="H498" s="230">
        <f>Proj_Inputs!$B$44+(Proj_Inputs!$C$44-Proj_Inputs!$B$44)*B498</f>
        <v>6.5683800000000014E-2</v>
      </c>
      <c r="I498" s="230">
        <f>Proj_Inputs!$B$45+(Proj_Inputs!$C$45-Proj_Inputs!$B$45)*C498</f>
        <v>7.6831200000000016E-3</v>
      </c>
      <c r="J498" s="230">
        <f>Proj_Inputs!$B$46+(Proj_Inputs!$C$46-Proj_Inputs!$B$46)*D498</f>
        <v>-9.7493999999999914E-3</v>
      </c>
      <c r="K498" s="230">
        <f>Proj_Inputs!$B$47+(Proj_Inputs!$C$47-Proj_Inputs!$B$47)*E498</f>
        <v>0.19390524999999997</v>
      </c>
      <c r="L498" s="230">
        <f>Proj_Inputs!$B$46+(Proj_Inputs!$C$46-Proj_Inputs!$B$46)*F498</f>
        <v>-6.3963199999999984E-2</v>
      </c>
      <c r="M498" s="230">
        <f>Proj_Inputs!$B$47+(Proj_Inputs!$C$47-Proj_Inputs!$B$47)*G498</f>
        <v>2.6029250000000004E-2</v>
      </c>
      <c r="N498" s="231">
        <f>(1+H498)*(Proj_Inputs!$B$20+J498)/Proj_Inputs!$B$20*((Proj_Inputs!$B$21+I498)*(1-Proj_Inputs!$B$24)*NPV_Pirelli!$B$47+NPV_Pirelli!$B$49)+(1+K498)*NPV_Pirelli!$B$48</f>
        <v>367.18327353678512</v>
      </c>
      <c r="O498" s="231">
        <f>(1+H498)*(Proj_Inputs!$C$20+L498)/Proj_Inputs!$C$20*((Proj_Inputs!$C$21+I498)*(1-Proj_Inputs!$C$24)*NPV_Hankook!$B$47+NPV_Hankook!$B$49)+(1+M498)*NPV_Hankook!$B$48</f>
        <v>-78.691101299383263</v>
      </c>
    </row>
    <row r="499" spans="1:15" x14ac:dyDescent="0.2">
      <c r="A499" s="228">
        <v>475</v>
      </c>
      <c r="B499" s="229">
        <v>0.147539</v>
      </c>
      <c r="C499" s="229">
        <v>0.42555100000000001</v>
      </c>
      <c r="D499" s="229">
        <v>0.444768</v>
      </c>
      <c r="E499" s="229">
        <v>0.43137599999999998</v>
      </c>
      <c r="F499" s="229">
        <v>0.430338</v>
      </c>
      <c r="G499" s="229">
        <v>0.949411</v>
      </c>
      <c r="H499" s="230">
        <f>Proj_Inputs!$B$44+(Proj_Inputs!$C$44-Proj_Inputs!$B$44)*B499</f>
        <v>-7.0492200000000005E-2</v>
      </c>
      <c r="I499" s="230">
        <f>Proj_Inputs!$B$45+(Proj_Inputs!$C$45-Proj_Inputs!$B$45)*C499</f>
        <v>-5.9559199999999965E-3</v>
      </c>
      <c r="J499" s="230">
        <f>Proj_Inputs!$B$46+(Proj_Inputs!$C$46-Proj_Inputs!$B$46)*D499</f>
        <v>-6.1046399999999987E-2</v>
      </c>
      <c r="K499" s="230">
        <f>Proj_Inputs!$B$47+(Proj_Inputs!$C$47-Proj_Inputs!$B$47)*E499</f>
        <v>5.7843999999999993E-2</v>
      </c>
      <c r="L499" s="230">
        <f>Proj_Inputs!$B$46+(Proj_Inputs!$C$46-Proj_Inputs!$B$46)*F499</f>
        <v>-6.3932399999999986E-2</v>
      </c>
      <c r="M499" s="230">
        <f>Proj_Inputs!$B$47+(Proj_Inputs!$C$47-Proj_Inputs!$B$47)*G499</f>
        <v>0.18735275000000001</v>
      </c>
      <c r="N499" s="231">
        <f>(1+H499)*(Proj_Inputs!$B$20+J499)/Proj_Inputs!$B$20*((Proj_Inputs!$B$21+I499)*(1-Proj_Inputs!$B$24)*NPV_Pirelli!$B$47+NPV_Pirelli!$B$49)+(1+K499)*NPV_Pirelli!$B$48</f>
        <v>168.39282871192631</v>
      </c>
      <c r="O499" s="231">
        <f>(1+H499)*(Proj_Inputs!$C$20+L499)/Proj_Inputs!$C$20*((Proj_Inputs!$C$21+I499)*(1-Proj_Inputs!$C$24)*NPV_Hankook!$B$47+NPV_Hankook!$B$49)+(1+M499)*NPV_Hankook!$B$48</f>
        <v>-489.4985892318665</v>
      </c>
    </row>
    <row r="500" spans="1:15" x14ac:dyDescent="0.2">
      <c r="A500" s="228">
        <v>476</v>
      </c>
      <c r="B500" s="229">
        <v>0.33516899999999999</v>
      </c>
      <c r="C500" s="229">
        <v>0.95066200000000001</v>
      </c>
      <c r="D500" s="229">
        <v>0.37994600000000001</v>
      </c>
      <c r="E500" s="229">
        <v>0.36152000000000001</v>
      </c>
      <c r="F500" s="229">
        <v>0.52735299999999996</v>
      </c>
      <c r="G500" s="229">
        <v>0.16109599999999999</v>
      </c>
      <c r="H500" s="230">
        <f>Proj_Inputs!$B$44+(Proj_Inputs!$C$44-Proj_Inputs!$B$44)*B500</f>
        <v>-3.2966200000000001E-2</v>
      </c>
      <c r="I500" s="230">
        <f>Proj_Inputs!$B$45+(Proj_Inputs!$C$45-Proj_Inputs!$B$45)*C500</f>
        <v>3.6052960000000002E-2</v>
      </c>
      <c r="J500" s="230">
        <f>Proj_Inputs!$B$46+(Proj_Inputs!$C$46-Proj_Inputs!$B$46)*D500</f>
        <v>-7.4010799999999988E-2</v>
      </c>
      <c r="K500" s="230">
        <f>Proj_Inputs!$B$47+(Proj_Inputs!$C$47-Proj_Inputs!$B$47)*E500</f>
        <v>4.0379999999999999E-2</v>
      </c>
      <c r="L500" s="230">
        <f>Proj_Inputs!$B$46+(Proj_Inputs!$C$46-Proj_Inputs!$B$46)*F500</f>
        <v>-4.4529399999999997E-2</v>
      </c>
      <c r="M500" s="230">
        <f>Proj_Inputs!$B$47+(Proj_Inputs!$C$47-Proj_Inputs!$B$47)*G500</f>
        <v>-9.7260000000000055E-3</v>
      </c>
      <c r="N500" s="231">
        <f>(1+H500)*(Proj_Inputs!$B$20+J500)/Proj_Inputs!$B$20*((Proj_Inputs!$B$21+I500)*(1-Proj_Inputs!$B$24)*NPV_Pirelli!$B$47+NPV_Pirelli!$B$49)+(1+K500)*NPV_Pirelli!$B$48</f>
        <v>437.15381872723003</v>
      </c>
      <c r="O500" s="231">
        <f>(1+H500)*(Proj_Inputs!$C$20+L500)/Proj_Inputs!$C$20*((Proj_Inputs!$C$21+I500)*(1-Proj_Inputs!$C$24)*NPV_Hankook!$B$47+NPV_Hankook!$B$49)+(1+M500)*NPV_Hankook!$B$48</f>
        <v>61.926280188609326</v>
      </c>
    </row>
    <row r="501" spans="1:15" x14ac:dyDescent="0.2">
      <c r="A501" s="228">
        <v>477</v>
      </c>
      <c r="B501" s="229">
        <v>0.903671</v>
      </c>
      <c r="C501" s="229">
        <v>0.385824</v>
      </c>
      <c r="D501" s="229">
        <v>0.508127</v>
      </c>
      <c r="E501" s="229">
        <v>0.47516999999999998</v>
      </c>
      <c r="F501" s="229">
        <v>0.14726400000000001</v>
      </c>
      <c r="G501" s="229">
        <v>0.646374</v>
      </c>
      <c r="H501" s="230">
        <f>Proj_Inputs!$B$44+(Proj_Inputs!$C$44-Proj_Inputs!$B$44)*B501</f>
        <v>8.0734200000000006E-2</v>
      </c>
      <c r="I501" s="230">
        <f>Proj_Inputs!$B$45+(Proj_Inputs!$C$45-Proj_Inputs!$B$45)*C501</f>
        <v>-9.1340799999999993E-3</v>
      </c>
      <c r="J501" s="230">
        <f>Proj_Inputs!$B$46+(Proj_Inputs!$C$46-Proj_Inputs!$B$46)*D501</f>
        <v>-4.837459999999999E-2</v>
      </c>
      <c r="K501" s="230">
        <f>Proj_Inputs!$B$47+(Proj_Inputs!$C$47-Proj_Inputs!$B$47)*E501</f>
        <v>6.8792499999999993E-2</v>
      </c>
      <c r="L501" s="230">
        <f>Proj_Inputs!$B$46+(Proj_Inputs!$C$46-Proj_Inputs!$B$46)*F501</f>
        <v>-0.12054719999999999</v>
      </c>
      <c r="M501" s="230">
        <f>Proj_Inputs!$B$47+(Proj_Inputs!$C$47-Proj_Inputs!$B$47)*G501</f>
        <v>0.1115935</v>
      </c>
      <c r="N501" s="231">
        <f>(1+H501)*(Proj_Inputs!$B$20+J501)/Proj_Inputs!$B$20*((Proj_Inputs!$B$21+I501)*(1-Proj_Inputs!$B$24)*NPV_Pirelli!$B$47+NPV_Pirelli!$B$49)+(1+K501)*NPV_Pirelli!$B$48</f>
        <v>320.33484590735395</v>
      </c>
      <c r="O501" s="231">
        <f>(1+H501)*(Proj_Inputs!$C$20+L501)/Proj_Inputs!$C$20*((Proj_Inputs!$C$21+I501)*(1-Proj_Inputs!$C$24)*NPV_Hankook!$B$47+NPV_Hankook!$B$49)+(1+M501)*NPV_Hankook!$B$48</f>
        <v>-346.87916027476024</v>
      </c>
    </row>
    <row r="502" spans="1:15" x14ac:dyDescent="0.2">
      <c r="A502" s="228">
        <v>478</v>
      </c>
      <c r="B502" s="229">
        <v>0.132386</v>
      </c>
      <c r="C502" s="229">
        <v>0.65761899999999995</v>
      </c>
      <c r="D502" s="229">
        <v>8.5106000000000001E-2</v>
      </c>
      <c r="E502" s="229">
        <v>0.94975699999999996</v>
      </c>
      <c r="F502" s="229">
        <v>0.25313999999999998</v>
      </c>
      <c r="G502" s="229">
        <v>0.117436</v>
      </c>
      <c r="H502" s="230">
        <f>Proj_Inputs!$B$44+(Proj_Inputs!$C$44-Proj_Inputs!$B$44)*B502</f>
        <v>-7.3522799999999999E-2</v>
      </c>
      <c r="I502" s="230">
        <f>Proj_Inputs!$B$45+(Proj_Inputs!$C$45-Proj_Inputs!$B$45)*C502</f>
        <v>1.2609519999999999E-2</v>
      </c>
      <c r="J502" s="230">
        <f>Proj_Inputs!$B$46+(Proj_Inputs!$C$46-Proj_Inputs!$B$46)*D502</f>
        <v>-0.13297880000000001</v>
      </c>
      <c r="K502" s="230">
        <f>Proj_Inputs!$B$47+(Proj_Inputs!$C$47-Proj_Inputs!$B$47)*E502</f>
        <v>0.18743925</v>
      </c>
      <c r="L502" s="230">
        <f>Proj_Inputs!$B$46+(Proj_Inputs!$C$46-Proj_Inputs!$B$46)*F502</f>
        <v>-9.9371999999999988E-2</v>
      </c>
      <c r="M502" s="230">
        <f>Proj_Inputs!$B$47+(Proj_Inputs!$C$47-Proj_Inputs!$B$47)*G502</f>
        <v>-2.0641000000000003E-2</v>
      </c>
      <c r="N502" s="231">
        <f>(1+H502)*(Proj_Inputs!$B$20+J502)/Proj_Inputs!$B$20*((Proj_Inputs!$B$21+I502)*(1-Proj_Inputs!$B$24)*NPV_Pirelli!$B$47+NPV_Pirelli!$B$49)+(1+K502)*NPV_Pirelli!$B$48</f>
        <v>67.980526995339005</v>
      </c>
      <c r="O502" s="231">
        <f>(1+H502)*(Proj_Inputs!$C$20+L502)/Proj_Inputs!$C$20*((Proj_Inputs!$C$21+I502)*(1-Proj_Inputs!$C$24)*NPV_Hankook!$B$47+NPV_Hankook!$B$49)+(1+M502)*NPV_Hankook!$B$48</f>
        <v>-183.25996087904764</v>
      </c>
    </row>
    <row r="503" spans="1:15" x14ac:dyDescent="0.2">
      <c r="A503" s="228">
        <v>479</v>
      </c>
      <c r="B503" s="229">
        <v>0.140906</v>
      </c>
      <c r="C503" s="229">
        <v>0.72538599999999998</v>
      </c>
      <c r="D503" s="229">
        <v>0.81345900000000004</v>
      </c>
      <c r="E503" s="229">
        <v>0.12564600000000001</v>
      </c>
      <c r="F503" s="229">
        <v>0.22245599999999999</v>
      </c>
      <c r="G503" s="229">
        <v>0.149369</v>
      </c>
      <c r="H503" s="230">
        <f>Proj_Inputs!$B$44+(Proj_Inputs!$C$44-Proj_Inputs!$B$44)*B503</f>
        <v>-7.1818800000000002E-2</v>
      </c>
      <c r="I503" s="230">
        <f>Proj_Inputs!$B$45+(Proj_Inputs!$C$45-Proj_Inputs!$B$45)*C503</f>
        <v>1.8030879999999999E-2</v>
      </c>
      <c r="J503" s="230">
        <f>Proj_Inputs!$B$46+(Proj_Inputs!$C$46-Proj_Inputs!$B$46)*D503</f>
        <v>1.2691800000000031E-2</v>
      </c>
      <c r="K503" s="230">
        <f>Proj_Inputs!$B$47+(Proj_Inputs!$C$47-Proj_Inputs!$B$47)*E503</f>
        <v>-1.8588500000000001E-2</v>
      </c>
      <c r="L503" s="230">
        <f>Proj_Inputs!$B$46+(Proj_Inputs!$C$46-Proj_Inputs!$B$46)*F503</f>
        <v>-0.10550879999999999</v>
      </c>
      <c r="M503" s="230">
        <f>Proj_Inputs!$B$47+(Proj_Inputs!$C$47-Proj_Inputs!$B$47)*G503</f>
        <v>-1.2657750000000002E-2</v>
      </c>
      <c r="N503" s="231">
        <f>(1+H503)*(Proj_Inputs!$B$20+J503)/Proj_Inputs!$B$20*((Proj_Inputs!$B$21+I503)*(1-Proj_Inputs!$B$24)*NPV_Pirelli!$B$47+NPV_Pirelli!$B$49)+(1+K503)*NPV_Pirelli!$B$48</f>
        <v>454.86298543327018</v>
      </c>
      <c r="O503" s="231">
        <f>(1+H503)*(Proj_Inputs!$C$20+L503)/Proj_Inputs!$C$20*((Proj_Inputs!$C$21+I503)*(1-Proj_Inputs!$C$24)*NPV_Hankook!$B$47+NPV_Hankook!$B$49)+(1+M503)*NPV_Hankook!$B$48</f>
        <v>-167.68759930575459</v>
      </c>
    </row>
    <row r="504" spans="1:15" x14ac:dyDescent="0.2">
      <c r="A504" s="228">
        <v>480</v>
      </c>
      <c r="B504" s="229">
        <v>0.86165000000000003</v>
      </c>
      <c r="C504" s="229">
        <v>0.59032399999999996</v>
      </c>
      <c r="D504" s="229">
        <v>0.35383300000000001</v>
      </c>
      <c r="E504" s="229">
        <v>0.25321900000000003</v>
      </c>
      <c r="F504" s="229">
        <v>0.244671</v>
      </c>
      <c r="G504" s="229">
        <v>0.28437600000000002</v>
      </c>
      <c r="H504" s="230">
        <f>Proj_Inputs!$B$44+(Proj_Inputs!$C$44-Proj_Inputs!$B$44)*B504</f>
        <v>7.2330000000000005E-2</v>
      </c>
      <c r="I504" s="230">
        <f>Proj_Inputs!$B$45+(Proj_Inputs!$C$45-Proj_Inputs!$B$45)*C504</f>
        <v>7.2259199999999968E-3</v>
      </c>
      <c r="J504" s="230">
        <f>Proj_Inputs!$B$46+(Proj_Inputs!$C$46-Proj_Inputs!$B$46)*D504</f>
        <v>-7.9233399999999995E-2</v>
      </c>
      <c r="K504" s="230">
        <f>Proj_Inputs!$B$47+(Proj_Inputs!$C$47-Proj_Inputs!$B$47)*E504</f>
        <v>1.3304750000000004E-2</v>
      </c>
      <c r="L504" s="230">
        <f>Proj_Inputs!$B$46+(Proj_Inputs!$C$46-Proj_Inputs!$B$46)*F504</f>
        <v>-0.10106579999999998</v>
      </c>
      <c r="M504" s="230">
        <f>Proj_Inputs!$B$47+(Proj_Inputs!$C$47-Proj_Inputs!$B$47)*G504</f>
        <v>2.1094000000000002E-2</v>
      </c>
      <c r="N504" s="231">
        <f>(1+H504)*(Proj_Inputs!$B$20+J504)/Proj_Inputs!$B$20*((Proj_Inputs!$B$21+I504)*(1-Proj_Inputs!$B$24)*NPV_Pirelli!$B$47+NPV_Pirelli!$B$49)+(1+K504)*NPV_Pirelli!$B$48</f>
        <v>412.19628881354822</v>
      </c>
      <c r="O504" s="231">
        <f>(1+H504)*(Proj_Inputs!$C$20+L504)/Proj_Inputs!$C$20*((Proj_Inputs!$C$21+I504)*(1-Proj_Inputs!$C$24)*NPV_Hankook!$B$47+NPV_Hankook!$B$49)+(1+M504)*NPV_Hankook!$B$48</f>
        <v>-118.76608481568383</v>
      </c>
    </row>
    <row r="505" spans="1:15" x14ac:dyDescent="0.2">
      <c r="A505" s="228">
        <v>481</v>
      </c>
      <c r="B505" s="229">
        <v>7.5370999999999994E-2</v>
      </c>
      <c r="C505" s="229">
        <v>0.32224599999999998</v>
      </c>
      <c r="D505" s="229">
        <v>0.64649699999999999</v>
      </c>
      <c r="E505" s="229">
        <v>0.183256</v>
      </c>
      <c r="F505" s="229">
        <v>0.122909</v>
      </c>
      <c r="G505" s="229">
        <v>0.17997199999999999</v>
      </c>
      <c r="H505" s="230">
        <f>Proj_Inputs!$B$44+(Proj_Inputs!$C$44-Proj_Inputs!$B$44)*B505</f>
        <v>-8.492580000000001E-2</v>
      </c>
      <c r="I505" s="230">
        <f>Proj_Inputs!$B$45+(Proj_Inputs!$C$45-Proj_Inputs!$B$45)*C505</f>
        <v>-1.4220320000000002E-2</v>
      </c>
      <c r="J505" s="230">
        <f>Proj_Inputs!$B$46+(Proj_Inputs!$C$46-Proj_Inputs!$B$46)*D505</f>
        <v>-2.0700599999999986E-2</v>
      </c>
      <c r="K505" s="230">
        <f>Proj_Inputs!$B$47+(Proj_Inputs!$C$47-Proj_Inputs!$B$47)*E505</f>
        <v>-4.1860000000000022E-3</v>
      </c>
      <c r="L505" s="230">
        <f>Proj_Inputs!$B$46+(Proj_Inputs!$C$46-Proj_Inputs!$B$46)*F505</f>
        <v>-0.12541819999999998</v>
      </c>
      <c r="M505" s="230">
        <f>Proj_Inputs!$B$47+(Proj_Inputs!$C$47-Proj_Inputs!$B$47)*G505</f>
        <v>-5.0070000000000045E-3</v>
      </c>
      <c r="N505" s="231">
        <f>(1+H505)*(Proj_Inputs!$B$20+J505)/Proj_Inputs!$B$20*((Proj_Inputs!$B$21+I505)*(1-Proj_Inputs!$B$24)*NPV_Pirelli!$B$47+NPV_Pirelli!$B$49)+(1+K505)*NPV_Pirelli!$B$48</f>
        <v>203.47709943789528</v>
      </c>
      <c r="O505" s="231">
        <f>(1+H505)*(Proj_Inputs!$C$20+L505)/Proj_Inputs!$C$20*((Proj_Inputs!$C$21+I505)*(1-Proj_Inputs!$C$24)*NPV_Hankook!$B$47+NPV_Hankook!$B$49)+(1+M505)*NPV_Hankook!$B$48</f>
        <v>-388.74055321077458</v>
      </c>
    </row>
    <row r="506" spans="1:15" x14ac:dyDescent="0.2">
      <c r="A506" s="228">
        <v>482</v>
      </c>
      <c r="B506" s="229">
        <v>0.163938</v>
      </c>
      <c r="C506" s="229">
        <v>0.28656399999999999</v>
      </c>
      <c r="D506" s="229">
        <v>0.55301500000000003</v>
      </c>
      <c r="E506" s="229">
        <v>0.40346799999999999</v>
      </c>
      <c r="F506" s="229">
        <v>0.58905700000000005</v>
      </c>
      <c r="G506" s="229">
        <v>0.97691600000000001</v>
      </c>
      <c r="H506" s="230">
        <f>Proj_Inputs!$B$44+(Proj_Inputs!$C$44-Proj_Inputs!$B$44)*B506</f>
        <v>-6.7212400000000005E-2</v>
      </c>
      <c r="I506" s="230">
        <f>Proj_Inputs!$B$45+(Proj_Inputs!$C$45-Proj_Inputs!$B$45)*C506</f>
        <v>-1.7074880000000001E-2</v>
      </c>
      <c r="J506" s="230">
        <f>Proj_Inputs!$B$46+(Proj_Inputs!$C$46-Proj_Inputs!$B$46)*D506</f>
        <v>-3.9396999999999988E-2</v>
      </c>
      <c r="K506" s="230">
        <f>Proj_Inputs!$B$47+(Proj_Inputs!$C$47-Proj_Inputs!$B$47)*E506</f>
        <v>5.0866999999999996E-2</v>
      </c>
      <c r="L506" s="230">
        <f>Proj_Inputs!$B$46+(Proj_Inputs!$C$46-Proj_Inputs!$B$46)*F506</f>
        <v>-3.2188599999999984E-2</v>
      </c>
      <c r="M506" s="230">
        <f>Proj_Inputs!$B$47+(Proj_Inputs!$C$47-Proj_Inputs!$B$47)*G506</f>
        <v>0.19422899999999998</v>
      </c>
      <c r="N506" s="231">
        <f>(1+H506)*(Proj_Inputs!$B$20+J506)/Proj_Inputs!$B$20*((Proj_Inputs!$B$21+I506)*(1-Proj_Inputs!$B$24)*NPV_Pirelli!$B$47+NPV_Pirelli!$B$49)+(1+K506)*NPV_Pirelli!$B$48</f>
        <v>142.03474521965177</v>
      </c>
      <c r="O506" s="231">
        <f>(1+H506)*(Proj_Inputs!$C$20+L506)/Proj_Inputs!$C$20*((Proj_Inputs!$C$21+I506)*(1-Proj_Inputs!$C$24)*NPV_Hankook!$B$47+NPV_Hankook!$B$49)+(1+M506)*NPV_Hankook!$B$48</f>
        <v>-528.90994515747866</v>
      </c>
    </row>
    <row r="507" spans="1:15" x14ac:dyDescent="0.2">
      <c r="A507" s="228">
        <v>483</v>
      </c>
      <c r="B507" s="229">
        <v>0.78212400000000004</v>
      </c>
      <c r="C507" s="229">
        <v>0.56302799999999997</v>
      </c>
      <c r="D507" s="229">
        <v>0.38842900000000002</v>
      </c>
      <c r="E507" s="229">
        <v>0.87393299999999996</v>
      </c>
      <c r="F507" s="229">
        <v>0.227599</v>
      </c>
      <c r="G507" s="229">
        <v>0.58194299999999999</v>
      </c>
      <c r="H507" s="230">
        <f>Proj_Inputs!$B$44+(Proj_Inputs!$C$44-Proj_Inputs!$B$44)*B507</f>
        <v>5.6424800000000025E-2</v>
      </c>
      <c r="I507" s="230">
        <f>Proj_Inputs!$B$45+(Proj_Inputs!$C$45-Proj_Inputs!$B$45)*C507</f>
        <v>5.0422399999999964E-3</v>
      </c>
      <c r="J507" s="230">
        <f>Proj_Inputs!$B$46+(Proj_Inputs!$C$46-Proj_Inputs!$B$46)*D507</f>
        <v>-7.2314199999999981E-2</v>
      </c>
      <c r="K507" s="230">
        <f>Proj_Inputs!$B$47+(Proj_Inputs!$C$47-Proj_Inputs!$B$47)*E507</f>
        <v>0.16848324999999997</v>
      </c>
      <c r="L507" s="230">
        <f>Proj_Inputs!$B$46+(Proj_Inputs!$C$46-Proj_Inputs!$B$46)*F507</f>
        <v>-0.1044802</v>
      </c>
      <c r="M507" s="230">
        <f>Proj_Inputs!$B$47+(Proj_Inputs!$C$47-Proj_Inputs!$B$47)*G507</f>
        <v>9.5485749999999994E-2</v>
      </c>
      <c r="N507" s="231">
        <f>(1+H507)*(Proj_Inputs!$B$20+J507)/Proj_Inputs!$B$20*((Proj_Inputs!$B$21+I507)*(1-Proj_Inputs!$B$24)*NPV_Pirelli!$B$47+NPV_Pirelli!$B$49)+(1+K507)*NPV_Pirelli!$B$48</f>
        <v>268.8325769045731</v>
      </c>
      <c r="O507" s="231">
        <f>(1+H507)*(Proj_Inputs!$C$20+L507)/Proj_Inputs!$C$20*((Proj_Inputs!$C$21+I507)*(1-Proj_Inputs!$C$24)*NPV_Hankook!$B$47+NPV_Hankook!$B$49)+(1+M507)*NPV_Hankook!$B$48</f>
        <v>-239.63891773350679</v>
      </c>
    </row>
    <row r="508" spans="1:15" x14ac:dyDescent="0.2">
      <c r="A508" s="228">
        <v>484</v>
      </c>
      <c r="B508" s="229">
        <v>0.96367499999999995</v>
      </c>
      <c r="C508" s="229">
        <v>0.10603</v>
      </c>
      <c r="D508" s="229">
        <v>0.89068599999999998</v>
      </c>
      <c r="E508" s="229">
        <v>0.60508099999999998</v>
      </c>
      <c r="F508" s="229">
        <v>9.9890000000000007E-2</v>
      </c>
      <c r="G508" s="229">
        <v>0.49457299999999998</v>
      </c>
      <c r="H508" s="230">
        <f>Proj_Inputs!$B$44+(Proj_Inputs!$C$44-Proj_Inputs!$B$44)*B508</f>
        <v>9.2734999999999984E-2</v>
      </c>
      <c r="I508" s="230">
        <f>Proj_Inputs!$B$45+(Proj_Inputs!$C$45-Proj_Inputs!$B$45)*C508</f>
        <v>-3.15176E-2</v>
      </c>
      <c r="J508" s="230">
        <f>Proj_Inputs!$B$46+(Proj_Inputs!$C$46-Proj_Inputs!$B$46)*D508</f>
        <v>2.8137200000000001E-2</v>
      </c>
      <c r="K508" s="230">
        <f>Proj_Inputs!$B$47+(Proj_Inputs!$C$47-Proj_Inputs!$B$47)*E508</f>
        <v>0.10127024999999999</v>
      </c>
      <c r="L508" s="230">
        <f>Proj_Inputs!$B$46+(Proj_Inputs!$C$46-Proj_Inputs!$B$46)*F508</f>
        <v>-0.130022</v>
      </c>
      <c r="M508" s="230">
        <f>Proj_Inputs!$B$47+(Proj_Inputs!$C$47-Proj_Inputs!$B$47)*G508</f>
        <v>7.3643249999999993E-2</v>
      </c>
      <c r="N508" s="231">
        <f>(1+H508)*(Proj_Inputs!$B$20+J508)/Proj_Inputs!$B$20*((Proj_Inputs!$B$21+I508)*(1-Proj_Inputs!$B$24)*NPV_Pirelli!$B$47+NPV_Pirelli!$B$49)+(1+K508)*NPV_Pirelli!$B$48</f>
        <v>257.24355430824426</v>
      </c>
      <c r="O508" s="231">
        <f>(1+H508)*(Proj_Inputs!$C$20+L508)/Proj_Inputs!$C$20*((Proj_Inputs!$C$21+I508)*(1-Proj_Inputs!$C$24)*NPV_Hankook!$B$47+NPV_Hankook!$B$49)+(1+M508)*NPV_Hankook!$B$48</f>
        <v>-447.26116750976303</v>
      </c>
    </row>
    <row r="509" spans="1:15" x14ac:dyDescent="0.2">
      <c r="A509" s="228">
        <v>485</v>
      </c>
      <c r="B509" s="229">
        <v>0.94725800000000004</v>
      </c>
      <c r="C509" s="229">
        <v>0.81777299999999997</v>
      </c>
      <c r="D509" s="229">
        <v>0.35271999999999998</v>
      </c>
      <c r="E509" s="229">
        <v>0.48852200000000001</v>
      </c>
      <c r="F509" s="229">
        <v>0.52188699999999999</v>
      </c>
      <c r="G509" s="229">
        <v>0.114054</v>
      </c>
      <c r="H509" s="230">
        <f>Proj_Inputs!$B$44+(Proj_Inputs!$C$44-Proj_Inputs!$B$44)*B509</f>
        <v>8.945160000000002E-2</v>
      </c>
      <c r="I509" s="230">
        <f>Proj_Inputs!$B$45+(Proj_Inputs!$C$45-Proj_Inputs!$B$45)*C509</f>
        <v>2.5421839999999994E-2</v>
      </c>
      <c r="J509" s="230">
        <f>Proj_Inputs!$B$46+(Proj_Inputs!$C$46-Proj_Inputs!$B$46)*D509</f>
        <v>-7.9455999999999999E-2</v>
      </c>
      <c r="K509" s="230">
        <f>Proj_Inputs!$B$47+(Proj_Inputs!$C$47-Proj_Inputs!$B$47)*E509</f>
        <v>7.21305E-2</v>
      </c>
      <c r="L509" s="230">
        <f>Proj_Inputs!$B$46+(Proj_Inputs!$C$46-Proj_Inputs!$B$46)*F509</f>
        <v>-4.5622599999999985E-2</v>
      </c>
      <c r="M509" s="230">
        <f>Proj_Inputs!$B$47+(Proj_Inputs!$C$47-Proj_Inputs!$B$47)*G509</f>
        <v>-2.1486500000000002E-2</v>
      </c>
      <c r="N509" s="231">
        <f>(1+H509)*(Proj_Inputs!$B$20+J509)/Proj_Inputs!$B$20*((Proj_Inputs!$B$21+I509)*(1-Proj_Inputs!$B$24)*NPV_Pirelli!$B$47+NPV_Pirelli!$B$49)+(1+K509)*NPV_Pirelli!$B$48</f>
        <v>496.62933057947066</v>
      </c>
      <c r="O509" s="231">
        <f>(1+H509)*(Proj_Inputs!$C$20+L509)/Proj_Inputs!$C$20*((Proj_Inputs!$C$21+I509)*(1-Proj_Inputs!$C$24)*NPV_Hankook!$B$47+NPV_Hankook!$B$49)+(1+M509)*NPV_Hankook!$B$48</f>
        <v>152.18049256027166</v>
      </c>
    </row>
    <row r="510" spans="1:15" x14ac:dyDescent="0.2">
      <c r="A510" s="228">
        <v>486</v>
      </c>
      <c r="B510" s="229">
        <v>0.80420899999999995</v>
      </c>
      <c r="C510" s="229">
        <v>0.67535299999999998</v>
      </c>
      <c r="D510" s="229">
        <v>0.17127300000000001</v>
      </c>
      <c r="E510" s="229">
        <v>0.85759300000000005</v>
      </c>
      <c r="F510" s="229">
        <v>0.88723600000000002</v>
      </c>
      <c r="G510" s="229">
        <v>0.77210400000000001</v>
      </c>
      <c r="H510" s="230">
        <f>Proj_Inputs!$B$44+(Proj_Inputs!$C$44-Proj_Inputs!$B$44)*B510</f>
        <v>6.0841800000000001E-2</v>
      </c>
      <c r="I510" s="230">
        <f>Proj_Inputs!$B$45+(Proj_Inputs!$C$45-Proj_Inputs!$B$45)*C510</f>
        <v>1.4028239999999997E-2</v>
      </c>
      <c r="J510" s="230">
        <f>Proj_Inputs!$B$46+(Proj_Inputs!$C$46-Proj_Inputs!$B$46)*D510</f>
        <v>-0.1157454</v>
      </c>
      <c r="K510" s="230">
        <f>Proj_Inputs!$B$47+(Proj_Inputs!$C$47-Proj_Inputs!$B$47)*E510</f>
        <v>0.16439825000000002</v>
      </c>
      <c r="L510" s="230">
        <f>Proj_Inputs!$B$46+(Proj_Inputs!$C$46-Proj_Inputs!$B$46)*F510</f>
        <v>2.7447200000000033E-2</v>
      </c>
      <c r="M510" s="230">
        <f>Proj_Inputs!$B$47+(Proj_Inputs!$C$47-Proj_Inputs!$B$47)*G510</f>
        <v>0.14302599999999999</v>
      </c>
      <c r="N510" s="231">
        <f>(1+H510)*(Proj_Inputs!$B$20+J510)/Proj_Inputs!$B$20*((Proj_Inputs!$B$21+I510)*(1-Proj_Inputs!$B$24)*NPV_Pirelli!$B$47+NPV_Pirelli!$B$49)+(1+K510)*NPV_Pirelli!$B$48</f>
        <v>265.71132996175936</v>
      </c>
      <c r="O510" s="231">
        <f>(1+H510)*(Proj_Inputs!$C$20+L510)/Proj_Inputs!$C$20*((Proj_Inputs!$C$21+I510)*(1-Proj_Inputs!$C$24)*NPV_Hankook!$B$47+NPV_Hankook!$B$49)+(1+M510)*NPV_Hankook!$B$48</f>
        <v>-50.97676627637793</v>
      </c>
    </row>
    <row r="511" spans="1:15" x14ac:dyDescent="0.2">
      <c r="A511" s="228">
        <v>487</v>
      </c>
      <c r="B511" s="229">
        <v>0.228237</v>
      </c>
      <c r="C511" s="229">
        <v>0.38707599999999998</v>
      </c>
      <c r="D511" s="229">
        <v>0.40071299999999999</v>
      </c>
      <c r="E511" s="229">
        <v>0.78897099999999998</v>
      </c>
      <c r="F511" s="229">
        <v>0.916964</v>
      </c>
      <c r="G511" s="229">
        <v>8.3124000000000003E-2</v>
      </c>
      <c r="H511" s="230">
        <f>Proj_Inputs!$B$44+(Proj_Inputs!$C$44-Proj_Inputs!$B$44)*B511</f>
        <v>-5.4352600000000001E-2</v>
      </c>
      <c r="I511" s="230">
        <f>Proj_Inputs!$B$45+(Proj_Inputs!$C$45-Proj_Inputs!$B$45)*C511</f>
        <v>-9.0339200000000008E-3</v>
      </c>
      <c r="J511" s="230">
        <f>Proj_Inputs!$B$46+(Proj_Inputs!$C$46-Proj_Inputs!$B$46)*D511</f>
        <v>-6.9857399999999986E-2</v>
      </c>
      <c r="K511" s="230">
        <f>Proj_Inputs!$B$47+(Proj_Inputs!$C$47-Proj_Inputs!$B$47)*E511</f>
        <v>0.14724274999999998</v>
      </c>
      <c r="L511" s="230">
        <f>Proj_Inputs!$B$46+(Proj_Inputs!$C$46-Proj_Inputs!$B$46)*F511</f>
        <v>3.3392800000000028E-2</v>
      </c>
      <c r="M511" s="230">
        <f>Proj_Inputs!$B$47+(Proj_Inputs!$C$47-Proj_Inputs!$B$47)*G511</f>
        <v>-2.9219000000000002E-2</v>
      </c>
      <c r="N511" s="231">
        <f>(1+H511)*(Proj_Inputs!$B$20+J511)/Proj_Inputs!$B$20*((Proj_Inputs!$B$21+I511)*(1-Proj_Inputs!$B$24)*NPV_Pirelli!$B$47+NPV_Pirelli!$B$49)+(1+K511)*NPV_Pirelli!$B$48</f>
        <v>88.001440629367039</v>
      </c>
      <c r="O511" s="231">
        <f>(1+H511)*(Proj_Inputs!$C$20+L511)/Proj_Inputs!$C$20*((Proj_Inputs!$C$21+I511)*(1-Proj_Inputs!$C$24)*NPV_Hankook!$B$47+NPV_Hankook!$B$49)+(1+M511)*NPV_Hankook!$B$48</f>
        <v>-137.15224871712667</v>
      </c>
    </row>
    <row r="512" spans="1:15" x14ac:dyDescent="0.2">
      <c r="A512" s="228">
        <v>488</v>
      </c>
      <c r="B512" s="229">
        <v>0.53980799999999995</v>
      </c>
      <c r="C512" s="229">
        <v>0.66536300000000004</v>
      </c>
      <c r="D512" s="229">
        <v>0.37980399999999997</v>
      </c>
      <c r="E512" s="229">
        <v>0.47216799999999998</v>
      </c>
      <c r="F512" s="229">
        <v>0.91989900000000002</v>
      </c>
      <c r="G512" s="229">
        <v>0.74657499999999999</v>
      </c>
      <c r="H512" s="230">
        <f>Proj_Inputs!$B$44+(Proj_Inputs!$C$44-Proj_Inputs!$B$44)*B512</f>
        <v>7.9615999999999854E-3</v>
      </c>
      <c r="I512" s="230">
        <f>Proj_Inputs!$B$45+(Proj_Inputs!$C$45-Proj_Inputs!$B$45)*C512</f>
        <v>1.3229040000000004E-2</v>
      </c>
      <c r="J512" s="230">
        <f>Proj_Inputs!$B$46+(Proj_Inputs!$C$46-Proj_Inputs!$B$46)*D512</f>
        <v>-7.4039199999999999E-2</v>
      </c>
      <c r="K512" s="230">
        <f>Proj_Inputs!$B$47+(Proj_Inputs!$C$47-Proj_Inputs!$B$47)*E512</f>
        <v>6.8041999999999991E-2</v>
      </c>
      <c r="L512" s="230">
        <f>Proj_Inputs!$B$46+(Proj_Inputs!$C$46-Proj_Inputs!$B$46)*F512</f>
        <v>3.3979800000000032E-2</v>
      </c>
      <c r="M512" s="230">
        <f>Proj_Inputs!$B$47+(Proj_Inputs!$C$47-Proj_Inputs!$B$47)*G512</f>
        <v>0.13664375000000001</v>
      </c>
      <c r="N512" s="231">
        <f>(1+H512)*(Proj_Inputs!$B$20+J512)/Proj_Inputs!$B$20*((Proj_Inputs!$B$21+I512)*(1-Proj_Inputs!$B$24)*NPV_Pirelli!$B$47+NPV_Pirelli!$B$49)+(1+K512)*NPV_Pirelli!$B$48</f>
        <v>337.90653571240478</v>
      </c>
      <c r="O512" s="231">
        <f>(1+H512)*(Proj_Inputs!$C$20+L512)/Proj_Inputs!$C$20*((Proj_Inputs!$C$21+I512)*(1-Proj_Inputs!$C$24)*NPV_Hankook!$B$47+NPV_Hankook!$B$49)+(1+M512)*NPV_Hankook!$B$48</f>
        <v>-104.46406101045977</v>
      </c>
    </row>
    <row r="513" spans="1:15" x14ac:dyDescent="0.2">
      <c r="A513" s="228">
        <v>489</v>
      </c>
      <c r="B513" s="229">
        <v>0.83029299999999995</v>
      </c>
      <c r="C513" s="229">
        <v>0.96038599999999996</v>
      </c>
      <c r="D513" s="229">
        <v>0.75106899999999999</v>
      </c>
      <c r="E513" s="229">
        <v>7.2128999999999999E-2</v>
      </c>
      <c r="F513" s="229">
        <v>0.98324100000000003</v>
      </c>
      <c r="G513" s="229">
        <v>0.49877899999999997</v>
      </c>
      <c r="H513" s="230">
        <f>Proj_Inputs!$B$44+(Proj_Inputs!$C$44-Proj_Inputs!$B$44)*B513</f>
        <v>6.6058599999999995E-2</v>
      </c>
      <c r="I513" s="230">
        <f>Proj_Inputs!$B$45+(Proj_Inputs!$C$45-Proj_Inputs!$B$45)*C513</f>
        <v>3.6830880000000003E-2</v>
      </c>
      <c r="J513" s="230">
        <f>Proj_Inputs!$B$46+(Proj_Inputs!$C$46-Proj_Inputs!$B$46)*D513</f>
        <v>2.1380000000001398E-4</v>
      </c>
      <c r="K513" s="230">
        <f>Proj_Inputs!$B$47+(Proj_Inputs!$C$47-Proj_Inputs!$B$47)*E513</f>
        <v>-3.1967750000000003E-2</v>
      </c>
      <c r="L513" s="230">
        <f>Proj_Inputs!$B$46+(Proj_Inputs!$C$46-Proj_Inputs!$B$46)*F513</f>
        <v>4.6648200000000029E-2</v>
      </c>
      <c r="M513" s="230">
        <f>Proj_Inputs!$B$47+(Proj_Inputs!$C$47-Proj_Inputs!$B$47)*G513</f>
        <v>7.469474999999999E-2</v>
      </c>
      <c r="N513" s="231">
        <f>(1+H513)*(Proj_Inputs!$B$20+J513)/Proj_Inputs!$B$20*((Proj_Inputs!$B$21+I513)*(1-Proj_Inputs!$B$24)*NPV_Pirelli!$B$47+NPV_Pirelli!$B$49)+(1+K513)*NPV_Pirelli!$B$48</f>
        <v>752.62837923494976</v>
      </c>
      <c r="O513" s="231">
        <f>(1+H513)*(Proj_Inputs!$C$20+L513)/Proj_Inputs!$C$20*((Proj_Inputs!$C$21+I513)*(1-Proj_Inputs!$C$24)*NPV_Hankook!$B$47+NPV_Hankook!$B$49)+(1+M513)*NPV_Hankook!$B$48</f>
        <v>236.63343180746165</v>
      </c>
    </row>
    <row r="514" spans="1:15" x14ac:dyDescent="0.2">
      <c r="A514" s="228">
        <v>490</v>
      </c>
      <c r="B514" s="229">
        <v>9.7378000000000006E-2</v>
      </c>
      <c r="C514" s="229">
        <v>0.40903299999999998</v>
      </c>
      <c r="D514" s="229">
        <v>0.82730199999999998</v>
      </c>
      <c r="E514" s="229">
        <v>0.90889200000000003</v>
      </c>
      <c r="F514" s="229">
        <v>0.62329599999999996</v>
      </c>
      <c r="G514" s="229">
        <v>7.1371000000000004E-2</v>
      </c>
      <c r="H514" s="230">
        <f>Proj_Inputs!$B$44+(Proj_Inputs!$C$44-Proj_Inputs!$B$44)*B514</f>
        <v>-8.0524399999999996E-2</v>
      </c>
      <c r="I514" s="230">
        <f>Proj_Inputs!$B$45+(Proj_Inputs!$C$45-Proj_Inputs!$B$45)*C514</f>
        <v>-7.2773600000000035E-3</v>
      </c>
      <c r="J514" s="230">
        <f>Proj_Inputs!$B$46+(Proj_Inputs!$C$46-Proj_Inputs!$B$46)*D514</f>
        <v>1.5460400000000013E-2</v>
      </c>
      <c r="K514" s="230">
        <f>Proj_Inputs!$B$47+(Proj_Inputs!$C$47-Proj_Inputs!$B$47)*E514</f>
        <v>0.17722300000000002</v>
      </c>
      <c r="L514" s="230">
        <f>Proj_Inputs!$B$46+(Proj_Inputs!$C$46-Proj_Inputs!$B$46)*F514</f>
        <v>-2.5340799999999997E-2</v>
      </c>
      <c r="M514" s="230">
        <f>Proj_Inputs!$B$47+(Proj_Inputs!$C$47-Proj_Inputs!$B$47)*G514</f>
        <v>-3.2157249999999998E-2</v>
      </c>
      <c r="N514" s="231">
        <f>(1+H514)*(Proj_Inputs!$B$20+J514)/Proj_Inputs!$B$20*((Proj_Inputs!$B$21+I514)*(1-Proj_Inputs!$B$24)*NPV_Pirelli!$B$47+NPV_Pirelli!$B$49)+(1+K514)*NPV_Pirelli!$B$48</f>
        <v>146.23692449401199</v>
      </c>
      <c r="O514" s="231">
        <f>(1+H514)*(Proj_Inputs!$C$20+L514)/Proj_Inputs!$C$20*((Proj_Inputs!$C$21+I514)*(1-Proj_Inputs!$C$24)*NPV_Hankook!$B$47+NPV_Hankook!$B$49)+(1+M514)*NPV_Hankook!$B$48</f>
        <v>-211.14027557443126</v>
      </c>
    </row>
    <row r="515" spans="1:15" x14ac:dyDescent="0.2">
      <c r="A515" s="228">
        <v>491</v>
      </c>
      <c r="B515" s="229">
        <v>0.16589200000000001</v>
      </c>
      <c r="C515" s="229">
        <v>0.89625999999999995</v>
      </c>
      <c r="D515" s="229">
        <v>0.66525800000000002</v>
      </c>
      <c r="E515" s="229">
        <v>0.81547000000000003</v>
      </c>
      <c r="F515" s="229">
        <v>0.59729900000000002</v>
      </c>
      <c r="G515" s="229">
        <v>0.76704399999999995</v>
      </c>
      <c r="H515" s="230">
        <f>Proj_Inputs!$B$44+(Proj_Inputs!$C$44-Proj_Inputs!$B$44)*B515</f>
        <v>-6.6821600000000009E-2</v>
      </c>
      <c r="I515" s="230">
        <f>Proj_Inputs!$B$45+(Proj_Inputs!$C$45-Proj_Inputs!$B$45)*C515</f>
        <v>3.1700799999999994E-2</v>
      </c>
      <c r="J515" s="230">
        <f>Proj_Inputs!$B$46+(Proj_Inputs!$C$46-Proj_Inputs!$B$46)*D515</f>
        <v>-1.6948399999999975E-2</v>
      </c>
      <c r="K515" s="230">
        <f>Proj_Inputs!$B$47+(Proj_Inputs!$C$47-Proj_Inputs!$B$47)*E515</f>
        <v>0.15386749999999999</v>
      </c>
      <c r="L515" s="230">
        <f>Proj_Inputs!$B$46+(Proj_Inputs!$C$46-Proj_Inputs!$B$46)*F515</f>
        <v>-3.054019999999999E-2</v>
      </c>
      <c r="M515" s="230">
        <f>Proj_Inputs!$B$47+(Proj_Inputs!$C$47-Proj_Inputs!$B$47)*G515</f>
        <v>0.14176099999999997</v>
      </c>
      <c r="N515" s="231">
        <f>(1+H515)*(Proj_Inputs!$B$20+J515)/Proj_Inputs!$B$20*((Proj_Inputs!$B$21+I515)*(1-Proj_Inputs!$B$24)*NPV_Pirelli!$B$47+NPV_Pirelli!$B$49)+(1+K515)*NPV_Pirelli!$B$48</f>
        <v>362.83673847880914</v>
      </c>
      <c r="O515" s="231">
        <f>(1+H515)*(Proj_Inputs!$C$20+L515)/Proj_Inputs!$C$20*((Proj_Inputs!$C$21+I515)*(1-Proj_Inputs!$C$24)*NPV_Hankook!$B$47+NPV_Hankook!$B$49)+(1+M515)*NPV_Hankook!$B$48</f>
        <v>-164.53117346730482</v>
      </c>
    </row>
    <row r="516" spans="1:15" x14ac:dyDescent="0.2">
      <c r="A516" s="228">
        <v>492</v>
      </c>
      <c r="B516" s="229">
        <v>0.67733900000000002</v>
      </c>
      <c r="C516" s="229">
        <v>0.70355699999999999</v>
      </c>
      <c r="D516" s="229">
        <v>0.319693</v>
      </c>
      <c r="E516" s="229">
        <v>0.462399</v>
      </c>
      <c r="F516" s="229">
        <v>0.475941</v>
      </c>
      <c r="G516" s="229">
        <v>0.58693899999999999</v>
      </c>
      <c r="H516" s="230">
        <f>Proj_Inputs!$B$44+(Proj_Inputs!$C$44-Proj_Inputs!$B$44)*B516</f>
        <v>3.5467799999999994E-2</v>
      </c>
      <c r="I516" s="230">
        <f>Proj_Inputs!$B$45+(Proj_Inputs!$C$45-Proj_Inputs!$B$45)*C516</f>
        <v>1.6284559999999997E-2</v>
      </c>
      <c r="J516" s="230">
        <f>Proj_Inputs!$B$46+(Proj_Inputs!$C$46-Proj_Inputs!$B$46)*D516</f>
        <v>-8.6061399999999996E-2</v>
      </c>
      <c r="K516" s="230">
        <f>Proj_Inputs!$B$47+(Proj_Inputs!$C$47-Proj_Inputs!$B$47)*E516</f>
        <v>6.5599749999999998E-2</v>
      </c>
      <c r="L516" s="230">
        <f>Proj_Inputs!$B$46+(Proj_Inputs!$C$46-Proj_Inputs!$B$46)*F516</f>
        <v>-5.4811799999999994E-2</v>
      </c>
      <c r="M516" s="230">
        <f>Proj_Inputs!$B$47+(Proj_Inputs!$C$47-Proj_Inputs!$B$47)*G516</f>
        <v>9.6734749999999994E-2</v>
      </c>
      <c r="N516" s="231">
        <f>(1+H516)*(Proj_Inputs!$B$20+J516)/Proj_Inputs!$B$20*((Proj_Inputs!$B$21+I516)*(1-Proj_Inputs!$B$24)*NPV_Pirelli!$B$47+NPV_Pirelli!$B$49)+(1+K516)*NPV_Pirelli!$B$48</f>
        <v>372.08828311874413</v>
      </c>
      <c r="O516" s="231">
        <f>(1+H516)*(Proj_Inputs!$C$20+L516)/Proj_Inputs!$C$20*((Proj_Inputs!$C$21+I516)*(1-Proj_Inputs!$C$24)*NPV_Hankook!$B$47+NPV_Hankook!$B$49)+(1+M516)*NPV_Hankook!$B$48</f>
        <v>-123.37626557429576</v>
      </c>
    </row>
    <row r="517" spans="1:15" x14ac:dyDescent="0.2">
      <c r="A517" s="228">
        <v>493</v>
      </c>
      <c r="B517" s="229">
        <v>0.81520899999999996</v>
      </c>
      <c r="C517" s="229">
        <v>0.12544</v>
      </c>
      <c r="D517" s="229">
        <v>0.77939700000000001</v>
      </c>
      <c r="E517" s="229">
        <v>0.16023899999999999</v>
      </c>
      <c r="F517" s="229">
        <v>0.27885399999999999</v>
      </c>
      <c r="G517" s="229">
        <v>0.44103500000000001</v>
      </c>
      <c r="H517" s="230">
        <f>Proj_Inputs!$B$44+(Proj_Inputs!$C$44-Proj_Inputs!$B$44)*B517</f>
        <v>6.3041800000000009E-2</v>
      </c>
      <c r="I517" s="230">
        <f>Proj_Inputs!$B$45+(Proj_Inputs!$C$45-Proj_Inputs!$B$45)*C517</f>
        <v>-2.99648E-2</v>
      </c>
      <c r="J517" s="230">
        <f>Proj_Inputs!$B$46+(Proj_Inputs!$C$46-Proj_Inputs!$B$46)*D517</f>
        <v>5.8794000000000068E-3</v>
      </c>
      <c r="K517" s="230">
        <f>Proj_Inputs!$B$47+(Proj_Inputs!$C$47-Proj_Inputs!$B$47)*E517</f>
        <v>-9.9402500000000046E-3</v>
      </c>
      <c r="L517" s="230">
        <f>Proj_Inputs!$B$46+(Proj_Inputs!$C$46-Proj_Inputs!$B$46)*F517</f>
        <v>-9.4229199999999985E-2</v>
      </c>
      <c r="M517" s="230">
        <f>Proj_Inputs!$B$47+(Proj_Inputs!$C$47-Proj_Inputs!$B$47)*G517</f>
        <v>6.025875E-2</v>
      </c>
      <c r="N517" s="231">
        <f>(1+H517)*(Proj_Inputs!$B$20+J517)/Proj_Inputs!$B$20*((Proj_Inputs!$B$21+I517)*(1-Proj_Inputs!$B$24)*NPV_Pirelli!$B$47+NPV_Pirelli!$B$49)+(1+K517)*NPV_Pirelli!$B$48</f>
        <v>298.35711406810879</v>
      </c>
      <c r="O517" s="231">
        <f>(1+H517)*(Proj_Inputs!$C$20+L517)/Proj_Inputs!$C$20*((Proj_Inputs!$C$21+I517)*(1-Proj_Inputs!$C$24)*NPV_Hankook!$B$47+NPV_Hankook!$B$49)+(1+M517)*NPV_Hankook!$B$48</f>
        <v>-407.09261573457354</v>
      </c>
    </row>
    <row r="518" spans="1:15" x14ac:dyDescent="0.2">
      <c r="A518" s="228">
        <v>494</v>
      </c>
      <c r="B518" s="229">
        <v>0.18188499999999999</v>
      </c>
      <c r="C518" s="229">
        <v>0.71038699999999999</v>
      </c>
      <c r="D518" s="229">
        <v>0.20038800000000001</v>
      </c>
      <c r="E518" s="229">
        <v>0.14421</v>
      </c>
      <c r="F518" s="229">
        <v>0.57861600000000002</v>
      </c>
      <c r="G518" s="229">
        <v>0.83047300000000002</v>
      </c>
      <c r="H518" s="230">
        <f>Proj_Inputs!$B$44+(Proj_Inputs!$C$44-Proj_Inputs!$B$44)*B518</f>
        <v>-6.3623000000000013E-2</v>
      </c>
      <c r="I518" s="230">
        <f>Proj_Inputs!$B$45+(Proj_Inputs!$C$45-Proj_Inputs!$B$45)*C518</f>
        <v>1.6830959999999999E-2</v>
      </c>
      <c r="J518" s="230">
        <f>Proj_Inputs!$B$46+(Proj_Inputs!$C$46-Proj_Inputs!$B$46)*D518</f>
        <v>-0.10992239999999999</v>
      </c>
      <c r="K518" s="230">
        <f>Proj_Inputs!$B$47+(Proj_Inputs!$C$47-Proj_Inputs!$B$47)*E518</f>
        <v>-1.3947500000000002E-2</v>
      </c>
      <c r="L518" s="230">
        <f>Proj_Inputs!$B$46+(Proj_Inputs!$C$46-Proj_Inputs!$B$46)*F518</f>
        <v>-3.4276799999999982E-2</v>
      </c>
      <c r="M518" s="230">
        <f>Proj_Inputs!$B$47+(Proj_Inputs!$C$47-Proj_Inputs!$B$47)*G518</f>
        <v>0.15761825000000002</v>
      </c>
      <c r="N518" s="231">
        <f>(1+H518)*(Proj_Inputs!$B$20+J518)/Proj_Inputs!$B$20*((Proj_Inputs!$B$21+I518)*(1-Proj_Inputs!$B$24)*NPV_Pirelli!$B$47+NPV_Pirelli!$B$49)+(1+K518)*NPV_Pirelli!$B$48</f>
        <v>289.4445581634327</v>
      </c>
      <c r="O518" s="231">
        <f>(1+H518)*(Proj_Inputs!$C$20+L518)/Proj_Inputs!$C$20*((Proj_Inputs!$C$21+I518)*(1-Proj_Inputs!$C$24)*NPV_Hankook!$B$47+NPV_Hankook!$B$49)+(1+M518)*NPV_Hankook!$B$48</f>
        <v>-275.79544984458812</v>
      </c>
    </row>
    <row r="519" spans="1:15" x14ac:dyDescent="0.2">
      <c r="A519" s="228">
        <v>495</v>
      </c>
      <c r="B519" s="229">
        <v>0.59668100000000002</v>
      </c>
      <c r="C519" s="229">
        <v>0.51054999999999995</v>
      </c>
      <c r="D519" s="229">
        <v>0.49640099999999998</v>
      </c>
      <c r="E519" s="229">
        <v>0.81560900000000003</v>
      </c>
      <c r="F519" s="229">
        <v>0.233376</v>
      </c>
      <c r="G519" s="229">
        <v>8.0845E-2</v>
      </c>
      <c r="H519" s="230">
        <f>Proj_Inputs!$B$44+(Proj_Inputs!$C$44-Proj_Inputs!$B$44)*B519</f>
        <v>1.9336199999999998E-2</v>
      </c>
      <c r="I519" s="230">
        <f>Proj_Inputs!$B$45+(Proj_Inputs!$C$45-Proj_Inputs!$B$45)*C519</f>
        <v>8.4399999999999753E-4</v>
      </c>
      <c r="J519" s="230">
        <f>Proj_Inputs!$B$46+(Proj_Inputs!$C$46-Proj_Inputs!$B$46)*D519</f>
        <v>-5.0719799999999995E-2</v>
      </c>
      <c r="K519" s="230">
        <f>Proj_Inputs!$B$47+(Proj_Inputs!$C$47-Proj_Inputs!$B$47)*E519</f>
        <v>0.15390225000000002</v>
      </c>
      <c r="L519" s="230">
        <f>Proj_Inputs!$B$46+(Proj_Inputs!$C$46-Proj_Inputs!$B$46)*F519</f>
        <v>-0.10332479999999999</v>
      </c>
      <c r="M519" s="230">
        <f>Proj_Inputs!$B$47+(Proj_Inputs!$C$47-Proj_Inputs!$B$47)*G519</f>
        <v>-2.9788750000000003E-2</v>
      </c>
      <c r="N519" s="231">
        <f>(1+H519)*(Proj_Inputs!$B$20+J519)/Proj_Inputs!$B$20*((Proj_Inputs!$B$21+I519)*(1-Proj_Inputs!$B$24)*NPV_Pirelli!$B$47+NPV_Pirelli!$B$49)+(1+K519)*NPV_Pirelli!$B$48</f>
        <v>243.52520216854577</v>
      </c>
      <c r="O519" s="231">
        <f>(1+H519)*(Proj_Inputs!$C$20+L519)/Proj_Inputs!$C$20*((Proj_Inputs!$C$21+I519)*(1-Proj_Inputs!$C$24)*NPV_Hankook!$B$47+NPV_Hankook!$B$49)+(1+M519)*NPV_Hankook!$B$48</f>
        <v>-154.74430629526069</v>
      </c>
    </row>
    <row r="520" spans="1:15" x14ac:dyDescent="0.2">
      <c r="A520" s="228">
        <v>496</v>
      </c>
      <c r="B520" s="229">
        <v>0.22134200000000001</v>
      </c>
      <c r="C520" s="229">
        <v>0.11622</v>
      </c>
      <c r="D520" s="229">
        <v>0.569851</v>
      </c>
      <c r="E520" s="229">
        <v>0.16702</v>
      </c>
      <c r="F520" s="229">
        <v>0.32845999999999997</v>
      </c>
      <c r="G520" s="229">
        <v>0.27124900000000002</v>
      </c>
      <c r="H520" s="230">
        <f>Proj_Inputs!$B$44+(Proj_Inputs!$C$44-Proj_Inputs!$B$44)*B520</f>
        <v>-5.5731599999999999E-2</v>
      </c>
      <c r="I520" s="230">
        <f>Proj_Inputs!$B$45+(Proj_Inputs!$C$45-Proj_Inputs!$B$45)*C520</f>
        <v>-3.0702399999999998E-2</v>
      </c>
      <c r="J520" s="230">
        <f>Proj_Inputs!$B$46+(Proj_Inputs!$C$46-Proj_Inputs!$B$46)*D520</f>
        <v>-3.6029799999999987E-2</v>
      </c>
      <c r="K520" s="230">
        <f>Proj_Inputs!$B$47+(Proj_Inputs!$C$47-Proj_Inputs!$B$47)*E520</f>
        <v>-8.2450000000000023E-3</v>
      </c>
      <c r="L520" s="230">
        <f>Proj_Inputs!$B$46+(Proj_Inputs!$C$46-Proj_Inputs!$B$46)*F520</f>
        <v>-8.4307999999999994E-2</v>
      </c>
      <c r="M520" s="230">
        <f>Proj_Inputs!$B$47+(Proj_Inputs!$C$47-Proj_Inputs!$B$47)*G520</f>
        <v>1.7812250000000002E-2</v>
      </c>
      <c r="N520" s="231">
        <f>(1+H520)*(Proj_Inputs!$B$20+J520)/Proj_Inputs!$B$20*((Proj_Inputs!$B$21+I520)*(1-Proj_Inputs!$B$24)*NPV_Pirelli!$B$47+NPV_Pirelli!$B$49)+(1+K520)*NPV_Pirelli!$B$48</f>
        <v>128.00705145674078</v>
      </c>
      <c r="O520" s="231">
        <f>(1+H520)*(Proj_Inputs!$C$20+L520)/Proj_Inputs!$C$20*((Proj_Inputs!$C$21+I520)*(1-Proj_Inputs!$C$24)*NPV_Hankook!$B$47+NPV_Hankook!$B$49)+(1+M520)*NPV_Hankook!$B$48</f>
        <v>-445.32682398441762</v>
      </c>
    </row>
    <row r="521" spans="1:15" x14ac:dyDescent="0.2">
      <c r="A521" s="228">
        <v>497</v>
      </c>
      <c r="B521" s="229">
        <v>0.96116400000000002</v>
      </c>
      <c r="C521" s="229">
        <v>0.151591</v>
      </c>
      <c r="D521" s="229">
        <v>0.74712199999999995</v>
      </c>
      <c r="E521" s="229">
        <v>0.70503000000000005</v>
      </c>
      <c r="F521" s="229">
        <v>0.49032999999999999</v>
      </c>
      <c r="G521" s="229">
        <v>0.68859300000000001</v>
      </c>
      <c r="H521" s="230">
        <f>Proj_Inputs!$B$44+(Proj_Inputs!$C$44-Proj_Inputs!$B$44)*B521</f>
        <v>9.2232800000000004E-2</v>
      </c>
      <c r="I521" s="230">
        <f>Proj_Inputs!$B$45+(Proj_Inputs!$C$45-Proj_Inputs!$B$45)*C521</f>
        <v>-2.787272E-2</v>
      </c>
      <c r="J521" s="230">
        <f>Proj_Inputs!$B$46+(Proj_Inputs!$C$46-Proj_Inputs!$B$46)*D521</f>
        <v>-5.7560000000000944E-4</v>
      </c>
      <c r="K521" s="230">
        <f>Proj_Inputs!$B$47+(Proj_Inputs!$C$47-Proj_Inputs!$B$47)*E521</f>
        <v>0.12625750000000002</v>
      </c>
      <c r="L521" s="230">
        <f>Proj_Inputs!$B$46+(Proj_Inputs!$C$46-Proj_Inputs!$B$46)*F521</f>
        <v>-5.1933999999999994E-2</v>
      </c>
      <c r="M521" s="230">
        <f>Proj_Inputs!$B$47+(Proj_Inputs!$C$47-Proj_Inputs!$B$47)*G521</f>
        <v>0.12214825</v>
      </c>
      <c r="N521" s="231">
        <f>(1+H521)*(Proj_Inputs!$B$20+J521)/Proj_Inputs!$B$20*((Proj_Inputs!$B$21+I521)*(1-Proj_Inputs!$B$24)*NPV_Pirelli!$B$47+NPV_Pirelli!$B$49)+(1+K521)*NPV_Pirelli!$B$48</f>
        <v>226.83925396488996</v>
      </c>
      <c r="O521" s="231">
        <f>(1+H521)*(Proj_Inputs!$C$20+L521)/Proj_Inputs!$C$20*((Proj_Inputs!$C$21+I521)*(1-Proj_Inputs!$C$24)*NPV_Hankook!$B$47+NPV_Hankook!$B$49)+(1+M521)*NPV_Hankook!$B$48</f>
        <v>-397.0779489296965</v>
      </c>
    </row>
    <row r="522" spans="1:15" x14ac:dyDescent="0.2">
      <c r="A522" s="228">
        <v>498</v>
      </c>
      <c r="B522" s="229">
        <v>0.98813600000000001</v>
      </c>
      <c r="C522" s="229">
        <v>0.66691199999999995</v>
      </c>
      <c r="D522" s="229">
        <v>0.20727200000000001</v>
      </c>
      <c r="E522" s="229">
        <v>0.39480999999999999</v>
      </c>
      <c r="F522" s="229">
        <v>0.647146</v>
      </c>
      <c r="G522" s="229">
        <v>0.28405900000000001</v>
      </c>
      <c r="H522" s="230">
        <f>Proj_Inputs!$B$44+(Proj_Inputs!$C$44-Proj_Inputs!$B$44)*B522</f>
        <v>9.7627199999999997E-2</v>
      </c>
      <c r="I522" s="230">
        <f>Proj_Inputs!$B$45+(Proj_Inputs!$C$45-Proj_Inputs!$B$45)*C522</f>
        <v>1.3352959999999997E-2</v>
      </c>
      <c r="J522" s="230">
        <f>Proj_Inputs!$B$46+(Proj_Inputs!$C$46-Proj_Inputs!$B$46)*D522</f>
        <v>-0.10854559999999999</v>
      </c>
      <c r="K522" s="230">
        <f>Proj_Inputs!$B$47+(Proj_Inputs!$C$47-Proj_Inputs!$B$47)*E522</f>
        <v>4.8702499999999996E-2</v>
      </c>
      <c r="L522" s="230">
        <f>Proj_Inputs!$B$46+(Proj_Inputs!$C$46-Proj_Inputs!$B$46)*F522</f>
        <v>-2.05708E-2</v>
      </c>
      <c r="M522" s="230">
        <f>Proj_Inputs!$B$47+(Proj_Inputs!$C$47-Proj_Inputs!$B$47)*G522</f>
        <v>2.1014749999999999E-2</v>
      </c>
      <c r="N522" s="231">
        <f>(1+H522)*(Proj_Inputs!$B$20+J522)/Proj_Inputs!$B$20*((Proj_Inputs!$B$21+I522)*(1-Proj_Inputs!$B$24)*NPV_Pirelli!$B$47+NPV_Pirelli!$B$49)+(1+K522)*NPV_Pirelli!$B$48</f>
        <v>405.17538099563399</v>
      </c>
      <c r="O522" s="231">
        <f>(1+H522)*(Proj_Inputs!$C$20+L522)/Proj_Inputs!$C$20*((Proj_Inputs!$C$21+I522)*(1-Proj_Inputs!$C$24)*NPV_Hankook!$B$47+NPV_Hankook!$B$49)+(1+M522)*NPV_Hankook!$B$48</f>
        <v>61.836247300317382</v>
      </c>
    </row>
    <row r="523" spans="1:15" x14ac:dyDescent="0.2">
      <c r="A523" s="228">
        <v>499</v>
      </c>
      <c r="B523" s="229">
        <v>0.14027999999999999</v>
      </c>
      <c r="C523" s="229">
        <v>0.70235800000000004</v>
      </c>
      <c r="D523" s="229">
        <v>0.51843600000000001</v>
      </c>
      <c r="E523" s="229">
        <v>0.93069599999999997</v>
      </c>
      <c r="F523" s="229">
        <v>0.58406400000000003</v>
      </c>
      <c r="G523" s="229">
        <v>0.55934899999999999</v>
      </c>
      <c r="H523" s="230">
        <f>Proj_Inputs!$B$44+(Proj_Inputs!$C$44-Proj_Inputs!$B$44)*B523</f>
        <v>-7.1944000000000008E-2</v>
      </c>
      <c r="I523" s="230">
        <f>Proj_Inputs!$B$45+(Proj_Inputs!$C$45-Proj_Inputs!$B$45)*C523</f>
        <v>1.6188640000000004E-2</v>
      </c>
      <c r="J523" s="230">
        <f>Proj_Inputs!$B$46+(Proj_Inputs!$C$46-Proj_Inputs!$B$46)*D523</f>
        <v>-4.6312799999999987E-2</v>
      </c>
      <c r="K523" s="230">
        <f>Proj_Inputs!$B$47+(Proj_Inputs!$C$47-Proj_Inputs!$B$47)*E523</f>
        <v>0.182674</v>
      </c>
      <c r="L523" s="230">
        <f>Proj_Inputs!$B$46+(Proj_Inputs!$C$46-Proj_Inputs!$B$46)*F523</f>
        <v>-3.3187199999999986E-2</v>
      </c>
      <c r="M523" s="230">
        <f>Proj_Inputs!$B$47+(Proj_Inputs!$C$47-Proj_Inputs!$B$47)*G523</f>
        <v>8.9837249999999993E-2</v>
      </c>
      <c r="N523" s="231">
        <f>(1+H523)*(Proj_Inputs!$B$20+J523)/Proj_Inputs!$B$20*((Proj_Inputs!$B$21+I523)*(1-Proj_Inputs!$B$24)*NPV_Pirelli!$B$47+NPV_Pirelli!$B$49)+(1+K523)*NPV_Pirelli!$B$48</f>
        <v>206.58565694681704</v>
      </c>
      <c r="O523" s="231">
        <f>(1+H523)*(Proj_Inputs!$C$20+L523)/Proj_Inputs!$C$20*((Proj_Inputs!$C$21+I523)*(1-Proj_Inputs!$C$24)*NPV_Hankook!$B$47+NPV_Hankook!$B$49)+(1+M523)*NPV_Hankook!$B$48</f>
        <v>-209.06026057100098</v>
      </c>
    </row>
    <row r="524" spans="1:15" x14ac:dyDescent="0.2">
      <c r="A524" s="228">
        <v>500</v>
      </c>
      <c r="B524" s="229">
        <v>0.68163499999999999</v>
      </c>
      <c r="C524" s="229">
        <v>0.107768</v>
      </c>
      <c r="D524" s="229">
        <v>0.93245400000000001</v>
      </c>
      <c r="E524" s="229">
        <v>6.4454999999999998E-2</v>
      </c>
      <c r="F524" s="229">
        <v>0.309915</v>
      </c>
      <c r="G524" s="229">
        <v>0.25448799999999999</v>
      </c>
      <c r="H524" s="230">
        <f>Proj_Inputs!$B$44+(Proj_Inputs!$C$44-Proj_Inputs!$B$44)*B524</f>
        <v>3.6326999999999998E-2</v>
      </c>
      <c r="I524" s="230">
        <f>Proj_Inputs!$B$45+(Proj_Inputs!$C$45-Proj_Inputs!$B$45)*C524</f>
        <v>-3.137856E-2</v>
      </c>
      <c r="J524" s="230">
        <f>Proj_Inputs!$B$46+(Proj_Inputs!$C$46-Proj_Inputs!$B$46)*D524</f>
        <v>3.6490800000000018E-2</v>
      </c>
      <c r="K524" s="230">
        <f>Proj_Inputs!$B$47+(Proj_Inputs!$C$47-Proj_Inputs!$B$47)*E524</f>
        <v>-3.3886250000000007E-2</v>
      </c>
      <c r="L524" s="230">
        <f>Proj_Inputs!$B$46+(Proj_Inputs!$C$46-Proj_Inputs!$B$46)*F524</f>
        <v>-8.8016999999999984E-2</v>
      </c>
      <c r="M524" s="230">
        <f>Proj_Inputs!$B$47+(Proj_Inputs!$C$47-Proj_Inputs!$B$47)*G524</f>
        <v>1.3621999999999995E-2</v>
      </c>
      <c r="N524" s="231">
        <f>(1+H524)*(Proj_Inputs!$B$20+J524)/Proj_Inputs!$B$20*((Proj_Inputs!$B$21+I524)*(1-Proj_Inputs!$B$24)*NPV_Pirelli!$B$47+NPV_Pirelli!$B$49)+(1+K524)*NPV_Pirelli!$B$48</f>
        <v>316.23227368848336</v>
      </c>
      <c r="O524" s="231">
        <f>(1+H524)*(Proj_Inputs!$C$20+L524)/Proj_Inputs!$C$20*((Proj_Inputs!$C$21+I524)*(1-Proj_Inputs!$C$24)*NPV_Hankook!$B$47+NPV_Hankook!$B$49)+(1+M524)*NPV_Hankook!$B$48</f>
        <v>-376.45373274890289</v>
      </c>
    </row>
  </sheetData>
  <mergeCells count="18">
    <mergeCell ref="E21:K21"/>
    <mergeCell ref="E4:K4"/>
    <mergeCell ref="E15:K15"/>
    <mergeCell ref="E11:K11"/>
    <mergeCell ref="E12:K12"/>
    <mergeCell ref="E16:K16"/>
    <mergeCell ref="E17:K17"/>
    <mergeCell ref="E18:K18"/>
    <mergeCell ref="E19:K19"/>
    <mergeCell ref="E5:K5"/>
    <mergeCell ref="E6:K6"/>
    <mergeCell ref="E7:K7"/>
    <mergeCell ref="E8:K8"/>
    <mergeCell ref="E9:K9"/>
    <mergeCell ref="E10:K10"/>
    <mergeCell ref="A2:K2"/>
    <mergeCell ref="A1:B1"/>
    <mergeCell ref="E20:K20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529220-7294-EC4C-84CD-8D85FD1DB1C2}">
  <sheetPr>
    <tabColor theme="9" tint="0.59999389629810485"/>
  </sheetPr>
  <dimension ref="A1:E35"/>
  <sheetViews>
    <sheetView zoomScale="125" zoomScaleNormal="125" workbookViewId="0"/>
  </sheetViews>
  <sheetFormatPr baseColWidth="10" defaultColWidth="11.5" defaultRowHeight="15" x14ac:dyDescent="0.2"/>
  <cols>
    <col min="1" max="1" width="40.83203125" customWidth="1"/>
    <col min="2" max="3" width="30.83203125" customWidth="1"/>
    <col min="5" max="5" width="55.83203125" customWidth="1"/>
  </cols>
  <sheetData>
    <row r="1" spans="1:5" x14ac:dyDescent="0.2">
      <c r="A1" s="129" t="s">
        <v>528</v>
      </c>
    </row>
    <row r="2" spans="1:5" x14ac:dyDescent="0.2">
      <c r="A2" s="419" t="s">
        <v>529</v>
      </c>
      <c r="B2" s="419"/>
    </row>
    <row r="3" spans="1:5" ht="16" thickBot="1" x14ac:dyDescent="0.25"/>
    <row r="4" spans="1:5" ht="16" thickBot="1" x14ac:dyDescent="0.25">
      <c r="A4" s="131" t="s">
        <v>530</v>
      </c>
      <c r="B4" s="232" t="s">
        <v>3</v>
      </c>
      <c r="C4" s="233" t="s">
        <v>4</v>
      </c>
      <c r="D4" s="133" t="s">
        <v>5</v>
      </c>
      <c r="E4" s="134" t="s">
        <v>298</v>
      </c>
    </row>
    <row r="5" spans="1:5" x14ac:dyDescent="0.2">
      <c r="A5" s="234" t="s">
        <v>24</v>
      </c>
      <c r="B5" s="235" t="str">
        <f>Proj_Inputs!B5</f>
        <v>Rome (Georgia) plant expansion</v>
      </c>
      <c r="C5" s="235" t="str">
        <f>Proj_Inputs!C5</f>
        <v>Clarksville (Tennessee) plant expansion</v>
      </c>
      <c r="D5" s="235" t="s">
        <v>25</v>
      </c>
      <c r="E5" s="225"/>
    </row>
    <row r="6" spans="1:5" x14ac:dyDescent="0.2">
      <c r="A6" s="135" t="s">
        <v>531</v>
      </c>
      <c r="B6" s="165">
        <f>Proj_Inputs!B7</f>
        <v>2027</v>
      </c>
      <c r="C6" s="165">
        <f>Proj_Inputs!C7</f>
        <v>2023</v>
      </c>
      <c r="D6" s="136" t="s">
        <v>333</v>
      </c>
      <c r="E6" s="137" t="s">
        <v>532</v>
      </c>
    </row>
    <row r="7" spans="1:5" x14ac:dyDescent="0.2">
      <c r="A7" s="135" t="s">
        <v>330</v>
      </c>
      <c r="B7" s="243">
        <f>Proj_Inputs!B6</f>
        <v>1200</v>
      </c>
      <c r="C7" s="243">
        <f>Proj_Inputs!C6</f>
        <v>1600</v>
      </c>
      <c r="D7" s="136" t="s">
        <v>27</v>
      </c>
      <c r="E7" s="137" t="s">
        <v>533</v>
      </c>
    </row>
    <row r="8" spans="1:5" x14ac:dyDescent="0.2">
      <c r="A8" s="135" t="s">
        <v>534</v>
      </c>
      <c r="B8" s="242">
        <f>Proj_Inputs!B10+Proj_Inputs!B11</f>
        <v>5.55</v>
      </c>
      <c r="C8" s="242">
        <f>Proj_Inputs!C10+Proj_Inputs!C11</f>
        <v>6.5</v>
      </c>
      <c r="D8" s="136" t="s">
        <v>336</v>
      </c>
      <c r="E8" s="137" t="s">
        <v>535</v>
      </c>
    </row>
    <row r="9" spans="1:5" x14ac:dyDescent="0.2">
      <c r="A9" s="153" t="s">
        <v>446</v>
      </c>
      <c r="B9" s="250">
        <f>NPV_Pirelli!B34</f>
        <v>405.32105609434302</v>
      </c>
      <c r="C9" s="250">
        <f>NPV_Hankook!B34</f>
        <v>-89.741191139007753</v>
      </c>
      <c r="D9" s="136" t="s">
        <v>27</v>
      </c>
      <c r="E9" s="39"/>
    </row>
    <row r="10" spans="1:5" x14ac:dyDescent="0.2">
      <c r="A10" s="135" t="s">
        <v>446</v>
      </c>
      <c r="B10" s="251">
        <f>NPV_Pirelli!B35</f>
        <v>374.46512942936346</v>
      </c>
      <c r="C10" s="251">
        <f>NPV_Hankook!B35</f>
        <v>-82.909452271810565</v>
      </c>
      <c r="D10" s="136" t="s">
        <v>448</v>
      </c>
      <c r="E10" s="137" t="s">
        <v>449</v>
      </c>
    </row>
    <row r="11" spans="1:5" x14ac:dyDescent="0.2">
      <c r="A11" s="153" t="s">
        <v>29</v>
      </c>
      <c r="B11" s="256">
        <f>NPV_Pirelli!B36</f>
        <v>0.12190390040550114</v>
      </c>
      <c r="C11" s="256">
        <f>NPV_Hankook!B36</f>
        <v>5.3335884144312562E-2</v>
      </c>
      <c r="D11" s="136" t="s">
        <v>7</v>
      </c>
      <c r="E11" s="39"/>
    </row>
    <row r="12" spans="1:5" x14ac:dyDescent="0.2">
      <c r="A12" s="135" t="s">
        <v>32</v>
      </c>
      <c r="B12" s="240">
        <f>NPV_Pirelli!B37</f>
        <v>7.6079882707959318E-2</v>
      </c>
      <c r="C12" s="240">
        <f>NPV_Hankook!B37</f>
        <v>5.8803434196678696E-2</v>
      </c>
      <c r="D12" s="136" t="s">
        <v>7</v>
      </c>
      <c r="E12" s="39"/>
    </row>
    <row r="13" spans="1:5" x14ac:dyDescent="0.2">
      <c r="A13" s="135" t="s">
        <v>452</v>
      </c>
      <c r="B13" s="240">
        <f>NPV_Pirelli!B38</f>
        <v>4.5824017697541825E-2</v>
      </c>
      <c r="C13" s="240">
        <f>NPV_Hankook!B38</f>
        <v>-5.4675500523661338E-3</v>
      </c>
      <c r="D13" s="136" t="s">
        <v>7</v>
      </c>
      <c r="E13" s="39"/>
    </row>
    <row r="14" spans="1:5" x14ac:dyDescent="0.2">
      <c r="A14" s="153" t="s">
        <v>33</v>
      </c>
      <c r="B14" s="259">
        <f>NPV_Pirelli!B40</f>
        <v>1.4460971277709822</v>
      </c>
      <c r="C14" s="259">
        <f>NPV_Hankook!B40</f>
        <v>0.93701797398779507</v>
      </c>
      <c r="D14" s="136" t="s">
        <v>34</v>
      </c>
      <c r="E14" s="39"/>
    </row>
    <row r="15" spans="1:5" x14ac:dyDescent="0.2">
      <c r="A15" s="135" t="s">
        <v>456</v>
      </c>
      <c r="B15" s="262">
        <f>NPV_Pirelli!B41</f>
        <v>11.854381212051138</v>
      </c>
      <c r="C15" s="262">
        <f>NPV_Hankook!B41</f>
        <v>16.341268092257923</v>
      </c>
      <c r="D15" s="136" t="s">
        <v>366</v>
      </c>
      <c r="E15" s="39"/>
    </row>
    <row r="16" spans="1:5" x14ac:dyDescent="0.2">
      <c r="A16" s="135" t="s">
        <v>458</v>
      </c>
      <c r="B16" s="262">
        <f>NPV_Pirelli!B42</f>
        <v>15.963099689562151</v>
      </c>
      <c r="C16" s="262" t="str">
        <f>NPV_Hankook!B42</f>
        <v>not recovered</v>
      </c>
      <c r="D16" s="136" t="s">
        <v>366</v>
      </c>
      <c r="E16" s="39"/>
    </row>
    <row r="17" spans="1:5" x14ac:dyDescent="0.2">
      <c r="A17" s="135" t="s">
        <v>460</v>
      </c>
      <c r="B17" s="251">
        <f>NPV_Pirelli!B43</f>
        <v>548.54932498260928</v>
      </c>
      <c r="C17" s="251">
        <f>NPV_Hankook!B43</f>
        <v>82.119620598371398</v>
      </c>
      <c r="D17" s="136" t="s">
        <v>27</v>
      </c>
      <c r="E17" s="39"/>
    </row>
    <row r="18" spans="1:5" ht="16" thickBot="1" x14ac:dyDescent="0.25">
      <c r="A18" s="141" t="s">
        <v>462</v>
      </c>
      <c r="B18" s="263">
        <f>NPV_Pirelli!B44</f>
        <v>286.20264634901798</v>
      </c>
      <c r="C18" s="263">
        <f>NPV_Hankook!B44</f>
        <v>-230.8755200930685</v>
      </c>
      <c r="D18" s="142" t="s">
        <v>27</v>
      </c>
      <c r="E18" s="40"/>
    </row>
    <row r="19" spans="1:5" ht="16" thickBot="1" x14ac:dyDescent="0.25"/>
    <row r="20" spans="1:5" ht="16" thickBot="1" x14ac:dyDescent="0.25">
      <c r="A20" s="131" t="s">
        <v>536</v>
      </c>
      <c r="B20" s="232" t="s">
        <v>3</v>
      </c>
      <c r="C20" s="233" t="s">
        <v>4</v>
      </c>
      <c r="D20" s="133" t="s">
        <v>5</v>
      </c>
      <c r="E20" s="134" t="s">
        <v>298</v>
      </c>
    </row>
    <row r="21" spans="1:5" x14ac:dyDescent="0.2">
      <c r="A21" s="234" t="s">
        <v>35</v>
      </c>
      <c r="B21" s="264">
        <f>Risk_Analysis!B9</f>
        <v>-100.13357234454099</v>
      </c>
      <c r="C21" s="264">
        <f>Risk_Analysis!B10</f>
        <v>-643.42668639487476</v>
      </c>
      <c r="D21" s="235" t="s">
        <v>27</v>
      </c>
      <c r="E21" s="225"/>
    </row>
    <row r="22" spans="1:5" x14ac:dyDescent="0.2">
      <c r="A22" s="135" t="s">
        <v>537</v>
      </c>
      <c r="B22" s="251">
        <f>Risk_Analysis!C9</f>
        <v>405.32105609434313</v>
      </c>
      <c r="C22" s="251">
        <f>Risk_Analysis!C10</f>
        <v>-89.741191139007697</v>
      </c>
      <c r="D22" s="136" t="s">
        <v>27</v>
      </c>
      <c r="E22" s="39"/>
    </row>
    <row r="23" spans="1:5" x14ac:dyDescent="0.2">
      <c r="A23" s="135" t="s">
        <v>36</v>
      </c>
      <c r="B23" s="251">
        <f>Risk_Analysis!D9</f>
        <v>740.32579617296108</v>
      </c>
      <c r="C23" s="251">
        <f>Risk_Analysis!D10</f>
        <v>254.42989459607475</v>
      </c>
      <c r="D23" s="136" t="s">
        <v>27</v>
      </c>
      <c r="E23" s="39"/>
    </row>
    <row r="24" spans="1:5" x14ac:dyDescent="0.2">
      <c r="A24" s="153" t="s">
        <v>538</v>
      </c>
      <c r="B24" s="397">
        <f>Risk_Analysis!B16</f>
        <v>285.16922357629426</v>
      </c>
      <c r="C24" s="397">
        <f>Risk_Analysis!C16</f>
        <v>-235.37845505118224</v>
      </c>
      <c r="D24" s="136" t="s">
        <v>27</v>
      </c>
      <c r="E24" s="137" t="s">
        <v>539</v>
      </c>
    </row>
    <row r="25" spans="1:5" x14ac:dyDescent="0.2">
      <c r="A25" s="135" t="s">
        <v>540</v>
      </c>
      <c r="B25" s="251">
        <f>Risk_Analysis!B19</f>
        <v>-5.5061003219964126</v>
      </c>
      <c r="C25" s="251">
        <f>Risk_Analysis!C19</f>
        <v>-535.20593632464102</v>
      </c>
      <c r="D25" s="136" t="s">
        <v>27</v>
      </c>
      <c r="E25" s="39"/>
    </row>
    <row r="26" spans="1:5" x14ac:dyDescent="0.2">
      <c r="A26" s="135" t="s">
        <v>541</v>
      </c>
      <c r="B26" s="251">
        <f>Risk_Analysis!B20</f>
        <v>581.18034811175517</v>
      </c>
      <c r="C26" s="251">
        <f>Risk_Analysis!C20</f>
        <v>110.16552226240313</v>
      </c>
      <c r="D26" s="136" t="s">
        <v>27</v>
      </c>
      <c r="E26" s="39"/>
    </row>
    <row r="27" spans="1:5" ht="16" thickBot="1" x14ac:dyDescent="0.25">
      <c r="A27" s="237" t="s">
        <v>542</v>
      </c>
      <c r="B27" s="252">
        <f>Risk_Analysis!B21</f>
        <v>5.1999999999999998E-2</v>
      </c>
      <c r="C27" s="252">
        <f>Risk_Analysis!C21</f>
        <v>0.878</v>
      </c>
      <c r="D27" s="142" t="s">
        <v>7</v>
      </c>
      <c r="E27" s="40"/>
    </row>
    <row r="28" spans="1:5" ht="16" thickBot="1" x14ac:dyDescent="0.25"/>
    <row r="29" spans="1:5" ht="16" thickBot="1" x14ac:dyDescent="0.25">
      <c r="A29" s="131" t="s">
        <v>543</v>
      </c>
      <c r="B29" s="232" t="s">
        <v>3</v>
      </c>
      <c r="C29" s="233" t="s">
        <v>4</v>
      </c>
      <c r="D29" s="133" t="s">
        <v>5</v>
      </c>
      <c r="E29" s="134" t="s">
        <v>298</v>
      </c>
    </row>
    <row r="30" spans="1:5" x14ac:dyDescent="0.2">
      <c r="A30" s="153" t="s">
        <v>30</v>
      </c>
      <c r="B30" s="275">
        <f>NPV_Pirelli!B53</f>
        <v>9.625007604264102E-2</v>
      </c>
      <c r="C30" s="275">
        <f>NPV_Hankook!B53</f>
        <v>5.6110043278008614E-2</v>
      </c>
      <c r="D30" s="136" t="s">
        <v>7</v>
      </c>
      <c r="E30" s="83" t="s">
        <v>544</v>
      </c>
    </row>
    <row r="31" spans="1:5" x14ac:dyDescent="0.2">
      <c r="A31" s="135" t="s">
        <v>476</v>
      </c>
      <c r="B31" s="271">
        <f>NPV_Pirelli!B55</f>
        <v>108.97280500993308</v>
      </c>
      <c r="C31" s="271">
        <f>NPV_Hankook!B55</f>
        <v>102.94121030595127</v>
      </c>
      <c r="D31" s="136" t="s">
        <v>347</v>
      </c>
      <c r="E31" s="83" t="s">
        <v>545</v>
      </c>
    </row>
    <row r="32" spans="1:5" x14ac:dyDescent="0.2">
      <c r="A32" s="135" t="s">
        <v>478</v>
      </c>
      <c r="B32" s="272">
        <f>NPV_Pirelli!B56</f>
        <v>3.2989040062097925</v>
      </c>
      <c r="C32" s="272">
        <f>NPV_Hankook!B56</f>
        <v>6.3390113714717371</v>
      </c>
      <c r="D32" s="136" t="s">
        <v>336</v>
      </c>
      <c r="E32" s="83" t="s">
        <v>546</v>
      </c>
    </row>
    <row r="33" spans="1:5" x14ac:dyDescent="0.2">
      <c r="A33" s="135" t="s">
        <v>480</v>
      </c>
      <c r="B33" s="273">
        <f>NPV_Pirelli!B57</f>
        <v>0.59439711823599861</v>
      </c>
      <c r="C33" s="273">
        <f>NPV_Hankook!B57</f>
        <v>0.97523251868795946</v>
      </c>
      <c r="D33" s="136" t="s">
        <v>7</v>
      </c>
      <c r="E33" s="83" t="s">
        <v>547</v>
      </c>
    </row>
    <row r="34" spans="1:5" x14ac:dyDescent="0.2">
      <c r="A34" s="153" t="s">
        <v>548</v>
      </c>
      <c r="B34" s="276">
        <f>NPV_Pirelli!B58</f>
        <v>0.33955875751555709</v>
      </c>
      <c r="C34" s="276">
        <f>NPV_Hankook!B58</f>
        <v>-8.3591687431066042E-2</v>
      </c>
      <c r="D34" s="136" t="s">
        <v>7</v>
      </c>
      <c r="E34" s="83" t="s">
        <v>549</v>
      </c>
    </row>
    <row r="35" spans="1:5" ht="16" thickBot="1" x14ac:dyDescent="0.25">
      <c r="A35" s="141" t="s">
        <v>550</v>
      </c>
      <c r="B35" s="274">
        <f>NPV_Pirelli!B59</f>
        <v>237.75884729439946</v>
      </c>
      <c r="C35" s="274">
        <f>NPV_Hankook!B59</f>
        <v>390.09300747518375</v>
      </c>
      <c r="D35" s="142" t="s">
        <v>485</v>
      </c>
      <c r="E35" s="85" t="s">
        <v>551</v>
      </c>
    </row>
  </sheetData>
  <mergeCells count="1">
    <mergeCell ref="A2:B2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dffef3d7-143e-41ed-815d-9c383c48eb95}" enabled="0" method="" siteId="{dffef3d7-143e-41ed-815d-9c383c48eb95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SUMMARY 1 - Global View</vt:lpstr>
      <vt:lpstr>Inputs</vt:lpstr>
      <vt:lpstr>Historical</vt:lpstr>
      <vt:lpstr>WACC</vt:lpstr>
      <vt:lpstr>DCF_Pirelli</vt:lpstr>
      <vt:lpstr>DCF_Hankook</vt:lpstr>
      <vt:lpstr>Multiples</vt:lpstr>
      <vt:lpstr>NAV</vt:lpstr>
      <vt:lpstr>SUMMARY 2 - Valuation</vt:lpstr>
      <vt:lpstr>Proj_Inputs</vt:lpstr>
      <vt:lpstr>NPV_Pirelli</vt:lpstr>
      <vt:lpstr>NPV_Hankook</vt:lpstr>
      <vt:lpstr>Risk_Analysis</vt:lpstr>
      <vt:lpstr>SUMMARY 3 - Projects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Giuliano Cerullo</dc:creator>
  <cp:keywords/>
  <dc:description/>
  <cp:lastModifiedBy>CERULLO Giuliano</cp:lastModifiedBy>
  <cp:revision/>
  <dcterms:created xsi:type="dcterms:W3CDTF">2026-09-26T16:21:23Z</dcterms:created>
  <dcterms:modified xsi:type="dcterms:W3CDTF">2026-10-11T20:59:48Z</dcterms:modified>
  <cp:category/>
  <cp:contentStatus/>
</cp:coreProperties>
</file>