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giuliano/Library/Mobile Documents/com~apple~CloudDocs/Università/MSc in Management/2025:26/II semestre/Advanced Corporate Finance [SECS-P:09]/[06] Project Work/"/>
    </mc:Choice>
  </mc:AlternateContent>
  <xr:revisionPtr revIDLastSave="0" documentId="8_{A537AF42-F066-034F-90B9-ED5F2088812F}" xr6:coauthVersionLast="47" xr6:coauthVersionMax="47" xr10:uidLastSave="{00000000-0000-0000-0000-000000000000}"/>
  <bookViews>
    <workbookView xWindow="20480" yWindow="500" windowWidth="20480" windowHeight="23860" xr2:uid="{2B5EB81B-A6E2-4CDC-9FFE-9E111AED7042}"/>
  </bookViews>
  <sheets>
    <sheet name="Douglas's History " sheetId="15" r:id="rId1"/>
    <sheet name="Key Assumptions" sheetId="25" r:id="rId2"/>
    <sheet name="Beta &amp; WACC Estimation" sheetId="31" r:id="rId3"/>
    <sheet name="DCF" sheetId="29" r:id="rId4"/>
    <sheet name="DCF - Sensitivity Analysis" sheetId="11" r:id="rId5"/>
    <sheet name="APV" sheetId="24" r:id="rId6"/>
    <sheet name="APV - Sensitivity Analysis" sheetId="33" r:id="rId7"/>
    <sheet name="Multiples" sheetId="26" r:id="rId8"/>
    <sheet name="Key Valuation Outputs" sheetId="3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26" l="1"/>
  <c r="C8" i="29"/>
  <c r="D8" i="29" s="1"/>
  <c r="E8" i="29" s="1"/>
  <c r="C9" i="29"/>
  <c r="C23" i="24"/>
  <c r="I45" i="34"/>
  <c r="G45" i="34"/>
  <c r="I44" i="34"/>
  <c r="G44" i="34"/>
  <c r="I43" i="34"/>
  <c r="G43" i="34"/>
  <c r="I42" i="34"/>
  <c r="G42" i="34"/>
  <c r="I41" i="34"/>
  <c r="G41" i="34"/>
  <c r="I40" i="34"/>
  <c r="G40" i="34"/>
  <c r="I39" i="34"/>
  <c r="G39" i="34"/>
  <c r="I38" i="34"/>
  <c r="G38" i="34"/>
  <c r="I37" i="34"/>
  <c r="G37" i="34"/>
  <c r="I36" i="34"/>
  <c r="G36" i="34"/>
  <c r="I35" i="34"/>
  <c r="G35" i="34"/>
  <c r="I34" i="34"/>
  <c r="G34" i="34"/>
  <c r="C58" i="31"/>
  <c r="N53" i="11"/>
  <c r="D26" i="33"/>
  <c r="N40" i="29"/>
  <c r="F35" i="31"/>
  <c r="G35" i="31"/>
  <c r="C25" i="29"/>
  <c r="M39" i="29" s="1"/>
  <c r="K13" i="24"/>
  <c r="C21" i="24"/>
  <c r="C135" i="15"/>
  <c r="E25" i="33" s="1"/>
  <c r="K12" i="24"/>
  <c r="L17" i="33"/>
  <c r="D23" i="33"/>
  <c r="D34" i="33" s="1"/>
  <c r="E23" i="33"/>
  <c r="F23" i="33"/>
  <c r="G23" i="33"/>
  <c r="H23" i="33"/>
  <c r="I23" i="33"/>
  <c r="J23" i="33"/>
  <c r="L18" i="33"/>
  <c r="I59" i="11"/>
  <c r="E59" i="11"/>
  <c r="F59" i="11"/>
  <c r="G59" i="11"/>
  <c r="H59" i="11"/>
  <c r="E58" i="11"/>
  <c r="F58" i="11"/>
  <c r="G58" i="11"/>
  <c r="H58" i="11"/>
  <c r="I58" i="11"/>
  <c r="D58" i="11"/>
  <c r="C14" i="29"/>
  <c r="C17" i="29" s="1"/>
  <c r="C18" i="29" s="1"/>
  <c r="C49" i="31"/>
  <c r="C50" i="31" s="1"/>
  <c r="C43" i="31"/>
  <c r="C42" i="31"/>
  <c r="C41" i="31"/>
  <c r="C34" i="31"/>
  <c r="E34" i="31" s="1"/>
  <c r="D58" i="31" s="1"/>
  <c r="C28" i="31"/>
  <c r="C21" i="31"/>
  <c r="C35" i="11"/>
  <c r="C11" i="11" l="1"/>
  <c r="C46" i="11"/>
  <c r="E26" i="33"/>
  <c r="J25" i="33"/>
  <c r="J26" i="33" s="1"/>
  <c r="D25" i="33"/>
  <c r="D28" i="33" s="1"/>
  <c r="H25" i="33"/>
  <c r="H26" i="33" s="1"/>
  <c r="G25" i="33"/>
  <c r="G26" i="33" s="1"/>
  <c r="F25" i="33"/>
  <c r="F26" i="33" s="1"/>
  <c r="I25" i="33"/>
  <c r="I26" i="33" s="1"/>
  <c r="F59" i="31"/>
  <c r="F58" i="31"/>
  <c r="C26" i="31"/>
  <c r="F34" i="31"/>
  <c r="C35" i="31"/>
  <c r="N22" i="11"/>
  <c r="D23" i="11" s="1"/>
  <c r="S30" i="11"/>
  <c r="R30" i="11"/>
  <c r="Q30" i="11"/>
  <c r="P30" i="11"/>
  <c r="O30" i="11"/>
  <c r="N30" i="11"/>
  <c r="S22" i="11"/>
  <c r="I23" i="11" s="1"/>
  <c r="R22" i="11"/>
  <c r="H23" i="11" s="1"/>
  <c r="Q22" i="11"/>
  <c r="G23" i="11" s="1"/>
  <c r="P22" i="11"/>
  <c r="F23" i="11" s="1"/>
  <c r="O22" i="11"/>
  <c r="E23" i="11" s="1"/>
  <c r="C18" i="24"/>
  <c r="D20" i="24"/>
  <c r="E20" i="24"/>
  <c r="F20" i="24"/>
  <c r="G20" i="24"/>
  <c r="H20" i="24"/>
  <c r="I20" i="24"/>
  <c r="C20" i="24"/>
  <c r="D18" i="24"/>
  <c r="E18" i="24"/>
  <c r="F18" i="24"/>
  <c r="G18" i="24"/>
  <c r="H18" i="24"/>
  <c r="I18" i="24"/>
  <c r="E35" i="31" l="1"/>
  <c r="C59" i="31"/>
  <c r="E58" i="31"/>
  <c r="G34" i="31"/>
  <c r="G58" i="31" s="1"/>
  <c r="F21" i="24"/>
  <c r="E21" i="24"/>
  <c r="R32" i="11"/>
  <c r="H24" i="11" s="1"/>
  <c r="O32" i="11"/>
  <c r="E24" i="11" s="1"/>
  <c r="Q32" i="11"/>
  <c r="G24" i="11" s="1"/>
  <c r="P32" i="11"/>
  <c r="F24" i="11" s="1"/>
  <c r="S32" i="11"/>
  <c r="I24" i="11" s="1"/>
  <c r="C29" i="24"/>
  <c r="D21" i="24"/>
  <c r="H21" i="24"/>
  <c r="G21" i="24"/>
  <c r="I21" i="24"/>
  <c r="H9" i="29"/>
  <c r="G9" i="29"/>
  <c r="F131" i="15"/>
  <c r="F132" i="15"/>
  <c r="F133" i="15"/>
  <c r="F130" i="15"/>
  <c r="D11" i="11" l="1"/>
  <c r="D59" i="31"/>
  <c r="D46" i="11"/>
  <c r="D52" i="11" s="1"/>
  <c r="E10" i="26"/>
  <c r="E11" i="26"/>
  <c r="F42" i="26"/>
  <c r="L11" i="26" s="1"/>
  <c r="E42" i="26"/>
  <c r="L13" i="26" s="1"/>
  <c r="F41" i="26"/>
  <c r="L10" i="26" s="1"/>
  <c r="E41" i="26"/>
  <c r="E11" i="11" l="1"/>
  <c r="F11" i="11" s="1"/>
  <c r="D17" i="11"/>
  <c r="D13" i="11"/>
  <c r="D15" i="11"/>
  <c r="D22" i="11" s="1"/>
  <c r="E59" i="31"/>
  <c r="D55" i="11"/>
  <c r="D56" i="11" s="1"/>
  <c r="E46" i="11"/>
  <c r="E52" i="11" s="1"/>
  <c r="D48" i="11"/>
  <c r="D50" i="11"/>
  <c r="D57" i="11" s="1"/>
  <c r="E26" i="26"/>
  <c r="L12" i="26" s="1"/>
  <c r="F26" i="26"/>
  <c r="L9" i="26" s="1"/>
  <c r="F25" i="26"/>
  <c r="L8" i="26" s="1"/>
  <c r="E25" i="26"/>
  <c r="G11" i="11" l="1"/>
  <c r="F13" i="11"/>
  <c r="E13" i="11"/>
  <c r="E15" i="11"/>
  <c r="E22" i="11" s="1"/>
  <c r="G59" i="31"/>
  <c r="C62" i="11"/>
  <c r="N54" i="11" s="1"/>
  <c r="F15" i="11"/>
  <c r="F22" i="11" s="1"/>
  <c r="F46" i="11"/>
  <c r="F52" i="11" s="1"/>
  <c r="E48" i="11"/>
  <c r="E50" i="11"/>
  <c r="E57" i="11" s="1"/>
  <c r="G13" i="11"/>
  <c r="G15" i="11"/>
  <c r="G22" i="11" s="1"/>
  <c r="H11" i="11"/>
  <c r="M22" i="29"/>
  <c r="M30" i="11" s="1"/>
  <c r="M14" i="29"/>
  <c r="S14" i="29"/>
  <c r="O14" i="29"/>
  <c r="P14" i="29"/>
  <c r="Q14" i="29"/>
  <c r="R14" i="29"/>
  <c r="N14" i="29"/>
  <c r="M15" i="29" l="1"/>
  <c r="M22" i="11"/>
  <c r="M23" i="11" s="1"/>
  <c r="M32" i="11"/>
  <c r="N32" i="11"/>
  <c r="M31" i="11"/>
  <c r="C44" i="29"/>
  <c r="M40" i="29" s="1"/>
  <c r="C28" i="11"/>
  <c r="G46" i="11"/>
  <c r="G52" i="11" s="1"/>
  <c r="F48" i="11"/>
  <c r="F50" i="11"/>
  <c r="F57" i="11" s="1"/>
  <c r="E55" i="11"/>
  <c r="E56" i="11" s="1"/>
  <c r="E60" i="11" s="1"/>
  <c r="H13" i="11"/>
  <c r="H15" i="11"/>
  <c r="H22" i="11" s="1"/>
  <c r="I11" i="11"/>
  <c r="M13" i="11" s="1"/>
  <c r="G17" i="11"/>
  <c r="M24" i="29"/>
  <c r="C21" i="29" s="1"/>
  <c r="M23" i="29"/>
  <c r="C20" i="29"/>
  <c r="D24" i="11" l="1"/>
  <c r="D59" i="11"/>
  <c r="D60" i="11" s="1"/>
  <c r="C65" i="11" s="1"/>
  <c r="O54" i="11" s="1"/>
  <c r="G55" i="11"/>
  <c r="G56" i="11" s="1"/>
  <c r="G48" i="11"/>
  <c r="G50" i="11"/>
  <c r="G57" i="11" s="1"/>
  <c r="H46" i="11"/>
  <c r="H52" i="11" s="1"/>
  <c r="F55" i="11"/>
  <c r="F56" i="11" s="1"/>
  <c r="F60" i="11" s="1"/>
  <c r="G20" i="11"/>
  <c r="G21" i="11" s="1"/>
  <c r="G25" i="11" s="1"/>
  <c r="I15" i="11"/>
  <c r="I22" i="11" s="1"/>
  <c r="I13" i="11"/>
  <c r="H17" i="11"/>
  <c r="D20" i="29"/>
  <c r="E20" i="29"/>
  <c r="F20" i="29"/>
  <c r="G20" i="29"/>
  <c r="H20" i="29"/>
  <c r="I20" i="29"/>
  <c r="F37" i="34" l="1"/>
  <c r="H37" i="34" s="1"/>
  <c r="H55" i="11"/>
  <c r="H56" i="11" s="1"/>
  <c r="H48" i="11"/>
  <c r="H50" i="11"/>
  <c r="H57" i="11" s="1"/>
  <c r="I46" i="11"/>
  <c r="I52" i="11" s="1"/>
  <c r="G60" i="11"/>
  <c r="I17" i="11"/>
  <c r="I20" i="11" s="1"/>
  <c r="I21" i="11" s="1"/>
  <c r="I25" i="11" s="1"/>
  <c r="H20" i="11"/>
  <c r="H21" i="11" s="1"/>
  <c r="H25" i="11" s="1"/>
  <c r="C19" i="29"/>
  <c r="O22" i="29"/>
  <c r="N22" i="29"/>
  <c r="N24" i="29" s="1"/>
  <c r="D21" i="29" s="1"/>
  <c r="P22" i="29"/>
  <c r="Q22" i="29"/>
  <c r="R22" i="29"/>
  <c r="S22" i="29"/>
  <c r="I55" i="11" l="1"/>
  <c r="I56" i="11" s="1"/>
  <c r="I50" i="11"/>
  <c r="I57" i="11" s="1"/>
  <c r="I48" i="11"/>
  <c r="H60" i="11"/>
  <c r="R24" i="29"/>
  <c r="H21" i="29" s="1"/>
  <c r="S24" i="29"/>
  <c r="I21" i="29" s="1"/>
  <c r="P24" i="29"/>
  <c r="F21" i="29" s="1"/>
  <c r="O24" i="29"/>
  <c r="E21" i="29" s="1"/>
  <c r="Q24" i="29"/>
  <c r="G21" i="29" s="1"/>
  <c r="I60" i="11" l="1"/>
  <c r="C123" i="15"/>
  <c r="C70" i="15"/>
  <c r="D10" i="29" l="1"/>
  <c r="D14" i="29"/>
  <c r="D12" i="29"/>
  <c r="C11" i="29"/>
  <c r="C15" i="29"/>
  <c r="C13" i="29"/>
  <c r="E10" i="29" l="1"/>
  <c r="E14" i="29"/>
  <c r="E17" i="29" s="1"/>
  <c r="E18" i="29" s="1"/>
  <c r="D17" i="29"/>
  <c r="D18" i="29" s="1"/>
  <c r="C26" i="15"/>
  <c r="C69" i="11"/>
  <c r="C71" i="11" s="1"/>
  <c r="J37" i="34" l="1"/>
  <c r="K37" i="34" s="1"/>
  <c r="P54" i="11"/>
  <c r="D19" i="29"/>
  <c r="E8" i="26"/>
  <c r="F8" i="29" l="1"/>
  <c r="E12" i="29"/>
  <c r="M10" i="26"/>
  <c r="M11" i="26"/>
  <c r="M8" i="26"/>
  <c r="M9" i="26"/>
  <c r="N9" i="26" l="1"/>
  <c r="J41" i="34" s="1"/>
  <c r="K41" i="34" s="1"/>
  <c r="F41" i="34"/>
  <c r="H41" i="34" s="1"/>
  <c r="J40" i="34"/>
  <c r="K40" i="34" s="1"/>
  <c r="F40" i="34"/>
  <c r="H40" i="34" s="1"/>
  <c r="N11" i="26"/>
  <c r="J43" i="34" s="1"/>
  <c r="K43" i="34" s="1"/>
  <c r="F43" i="34"/>
  <c r="H43" i="34" s="1"/>
  <c r="N10" i="26"/>
  <c r="J42" i="34" s="1"/>
  <c r="K42" i="34" s="1"/>
  <c r="F42" i="34"/>
  <c r="H42" i="34" s="1"/>
  <c r="F14" i="29"/>
  <c r="F10" i="29"/>
  <c r="E9" i="26"/>
  <c r="M13" i="26" s="1"/>
  <c r="E19" i="29"/>
  <c r="G8" i="29"/>
  <c r="F12" i="29"/>
  <c r="F19" i="29" s="1"/>
  <c r="N13" i="26" l="1"/>
  <c r="J45" i="34" s="1"/>
  <c r="K45" i="34" s="1"/>
  <c r="F45" i="34"/>
  <c r="H45" i="34" s="1"/>
  <c r="G14" i="29"/>
  <c r="G10" i="29"/>
  <c r="H8" i="29"/>
  <c r="I8" i="29" s="1"/>
  <c r="M8" i="29" s="1"/>
  <c r="D22" i="29"/>
  <c r="E13" i="33" s="1"/>
  <c r="E14" i="33" s="1"/>
  <c r="M12" i="26"/>
  <c r="G12" i="29"/>
  <c r="N12" i="26" l="1"/>
  <c r="J44" i="34" s="1"/>
  <c r="K44" i="34" s="1"/>
  <c r="F44" i="34"/>
  <c r="H44" i="34" s="1"/>
  <c r="H14" i="29"/>
  <c r="H12" i="29"/>
  <c r="H10" i="29"/>
  <c r="G17" i="29"/>
  <c r="G18" i="29" s="1"/>
  <c r="E22" i="29"/>
  <c r="F13" i="33" s="1"/>
  <c r="F14" i="33" s="1"/>
  <c r="D8" i="24"/>
  <c r="D9" i="24" s="1"/>
  <c r="F17" i="29"/>
  <c r="F18" i="29" s="1"/>
  <c r="F22" i="29" s="1"/>
  <c r="G19" i="29"/>
  <c r="H19" i="29"/>
  <c r="F8" i="24" l="1"/>
  <c r="F9" i="24" s="1"/>
  <c r="G13" i="33"/>
  <c r="G14" i="33" s="1"/>
  <c r="I14" i="29"/>
  <c r="I12" i="29"/>
  <c r="I10" i="29"/>
  <c r="H17" i="29"/>
  <c r="H18" i="29" s="1"/>
  <c r="E8" i="24"/>
  <c r="E9" i="24" s="1"/>
  <c r="G22" i="29"/>
  <c r="I17" i="29" l="1"/>
  <c r="I18" i="29" s="1"/>
  <c r="G8" i="24"/>
  <c r="G9" i="24" s="1"/>
  <c r="H13" i="33"/>
  <c r="H14" i="33" s="1"/>
  <c r="I19" i="29"/>
  <c r="H22" i="29"/>
  <c r="I13" i="33" s="1"/>
  <c r="I14" i="33" s="1"/>
  <c r="I22" i="29" l="1"/>
  <c r="C29" i="29" s="1"/>
  <c r="C33" i="29" s="1"/>
  <c r="H8" i="24"/>
  <c r="H9" i="24" s="1"/>
  <c r="C45" i="29" l="1"/>
  <c r="P40" i="29" s="1"/>
  <c r="J13" i="33"/>
  <c r="I8" i="24"/>
  <c r="J9" i="24" s="1"/>
  <c r="C10" i="24" s="1"/>
  <c r="C46" i="29" l="1"/>
  <c r="K14" i="33"/>
  <c r="D15" i="33" s="1"/>
  <c r="J14" i="33"/>
  <c r="P39" i="29"/>
  <c r="I9" i="24"/>
  <c r="C12" i="24" s="1"/>
  <c r="D17" i="33" l="1"/>
  <c r="D29" i="33" s="1"/>
  <c r="C24" i="24"/>
  <c r="F38" i="34" s="1"/>
  <c r="H38" i="34" s="1"/>
  <c r="Q39" i="29"/>
  <c r="F34" i="34"/>
  <c r="H34" i="34" s="1"/>
  <c r="C38" i="29"/>
  <c r="C50" i="29"/>
  <c r="Q40" i="29"/>
  <c r="F35" i="34"/>
  <c r="H35" i="34" s="1"/>
  <c r="D20" i="11"/>
  <c r="D21" i="11" s="1"/>
  <c r="D25" i="11" s="1"/>
  <c r="C32" i="11" s="1"/>
  <c r="E17" i="11"/>
  <c r="E20" i="11" s="1"/>
  <c r="F39" i="34" l="1"/>
  <c r="H39" i="34" s="1"/>
  <c r="D36" i="33"/>
  <c r="J39" i="34" s="1"/>
  <c r="K39" i="34" s="1"/>
  <c r="C37" i="11"/>
  <c r="O53" i="11"/>
  <c r="F36" i="34"/>
  <c r="H36" i="34" s="1"/>
  <c r="J35" i="34"/>
  <c r="K35" i="34" s="1"/>
  <c r="R40" i="29"/>
  <c r="R39" i="29"/>
  <c r="J34" i="34"/>
  <c r="K34" i="34" s="1"/>
  <c r="C31" i="24"/>
  <c r="J38" i="34" s="1"/>
  <c r="K38" i="34" s="1"/>
  <c r="E21" i="11"/>
  <c r="E25" i="11" s="1"/>
  <c r="F17" i="11"/>
  <c r="F20" i="11" s="1"/>
  <c r="F21" i="11" s="1"/>
  <c r="F25" i="11" s="1"/>
  <c r="P53" i="11" l="1"/>
  <c r="J36" i="34"/>
  <c r="K36" i="34" l="1"/>
  <c r="J47" i="34"/>
  <c r="J46" i="34"/>
</calcChain>
</file>

<file path=xl/sharedStrings.xml><?xml version="1.0" encoding="utf-8"?>
<sst xmlns="http://schemas.openxmlformats.org/spreadsheetml/2006/main" count="590" uniqueCount="391">
  <si>
    <t>Income Statement</t>
  </si>
  <si>
    <t>10/01/2022-09/30/2023</t>
  </si>
  <si>
    <t>10/01/2021-09/30/2022</t>
  </si>
  <si>
    <t>EUR m</t>
  </si>
  <si>
    <t>Sales (net)</t>
  </si>
  <si>
    <t>Adjustments on sales</t>
  </si>
  <si>
    <t>Adjusted Sales (net)</t>
  </si>
  <si>
    <t>Cost of raw materials, consumables and supplies and merchandise</t>
  </si>
  <si>
    <t>Gross Profit</t>
  </si>
  <si>
    <t>Other operating income</t>
  </si>
  <si>
    <t>Personnel expenses</t>
  </si>
  <si>
    <t>Other operating expenses</t>
  </si>
  <si>
    <t>EBITDA</t>
  </si>
  <si>
    <t>Adjusted EBITDA</t>
  </si>
  <si>
    <t>Amortization/depreciation/impairment</t>
  </si>
  <si>
    <t>EBIT</t>
  </si>
  <si>
    <t>Finance income</t>
  </si>
  <si>
    <t>Finance expenses</t>
  </si>
  <si>
    <t>Finance result</t>
  </si>
  <si>
    <t>EBT</t>
  </si>
  <si>
    <t>Income taxes</t>
  </si>
  <si>
    <t>Profit (+) or Loss (-) of the period (Net Income)</t>
  </si>
  <si>
    <t>Percentage of sales for EBIT</t>
  </si>
  <si>
    <t xml:space="preserve">Balance Sheet </t>
  </si>
  <si>
    <t>Equity and Liabilities</t>
  </si>
  <si>
    <t>Assets</t>
  </si>
  <si>
    <t>Equity</t>
  </si>
  <si>
    <t>Non-current assets</t>
  </si>
  <si>
    <t>Capital stock</t>
  </si>
  <si>
    <t>Goodwill</t>
  </si>
  <si>
    <t>Additional paid-in capital</t>
  </si>
  <si>
    <t>Other intangible assets</t>
  </si>
  <si>
    <t>Other reserves</t>
  </si>
  <si>
    <t>Property, plant and equipment</t>
  </si>
  <si>
    <t>Right-of-use assets from leases</t>
  </si>
  <si>
    <t>Non-current liabilities</t>
  </si>
  <si>
    <t>Other financial assets</t>
  </si>
  <si>
    <t>Pension provisions</t>
  </si>
  <si>
    <t>Deferred tax assets</t>
  </si>
  <si>
    <t>Other non-current provisions</t>
  </si>
  <si>
    <t>Current assets</t>
  </si>
  <si>
    <t>Other financial liabilities</t>
  </si>
  <si>
    <t>Inventories</t>
  </si>
  <si>
    <t>Other liabilities</t>
  </si>
  <si>
    <t>Trade accounts receivable</t>
  </si>
  <si>
    <t>Deferred tax liabilities</t>
  </si>
  <si>
    <t>Tax receivables</t>
  </si>
  <si>
    <t>Current liabilities</t>
  </si>
  <si>
    <t>Other assets</t>
  </si>
  <si>
    <t>Current provisions</t>
  </si>
  <si>
    <t>Cash</t>
  </si>
  <si>
    <t>Trade accounts payable</t>
  </si>
  <si>
    <t>Tax liabilities</t>
  </si>
  <si>
    <t>Total                                                                                                                                           </t>
  </si>
  <si>
    <t>Total                                                                                                                                        </t>
  </si>
  <si>
    <t>NWC</t>
  </si>
  <si>
    <t>10/01/2022-
09/30/2023</t>
  </si>
  <si>
    <t>10/01/2021-
09/30/2022</t>
  </si>
  <si>
    <t>Net working capital</t>
  </si>
  <si>
    <t>Trade accounts receivable and receivables from payment service providers</t>
  </si>
  <si>
    <t>Miscellaneous</t>
  </si>
  <si>
    <t xml:space="preserve">% NWC/sales </t>
  </si>
  <si>
    <t>Sales by Channel</t>
  </si>
  <si>
    <t>Store Sales (net)    </t>
  </si>
  <si>
    <t>E-Com Sales (net) </t>
  </si>
  <si>
    <t>Total </t>
  </si>
  <si>
    <t>Other Operating Income</t>
  </si>
  <si>
    <t>Income from services rendered to third parties and reimbursement of costs</t>
  </si>
  <si>
    <t>Income from leasing and sub-leasing</t>
  </si>
  <si>
    <t>Income from disposal of non-current assets</t>
  </si>
  <si>
    <t>Income from fees related to Douglas Premium Card</t>
  </si>
  <si>
    <t>Income from reversal of provisions</t>
  </si>
  <si>
    <t>Income from the derecognition of liabilities</t>
  </si>
  <si>
    <t>Income from insurance claims</t>
  </si>
  <si>
    <t>Miscellaneous other income</t>
  </si>
  <si>
    <t>Total</t>
  </si>
  <si>
    <t>Segment-specific forecasts</t>
  </si>
  <si>
    <t>Years</t>
  </si>
  <si>
    <t>% of total sales (current)</t>
  </si>
  <si>
    <t>EBITDA/Sale (current)</t>
  </si>
  <si>
    <t>Germany</t>
  </si>
  <si>
    <t>solid increase</t>
  </si>
  <si>
    <t>strong increase</t>
  </si>
  <si>
    <t>The Netherlands</t>
  </si>
  <si>
    <t>significant increase</t>
  </si>
  <si>
    <t>France</t>
  </si>
  <si>
    <t>vigorous increase</t>
  </si>
  <si>
    <t>slight increase</t>
  </si>
  <si>
    <t>Eastern Europe</t>
  </si>
  <si>
    <t>Souther Europe</t>
  </si>
  <si>
    <t>Parfumdreams / Niche Beauty</t>
  </si>
  <si>
    <t>Ranking:</t>
  </si>
  <si>
    <t>strong</t>
  </si>
  <si>
    <t>vigorous</t>
  </si>
  <si>
    <t>significant</t>
  </si>
  <si>
    <t>solid</t>
  </si>
  <si>
    <t>slight</t>
  </si>
  <si>
    <t>WACC</t>
  </si>
  <si>
    <t>WACC Parameters</t>
  </si>
  <si>
    <t>2022/2023</t>
  </si>
  <si>
    <t>2021/2022</t>
  </si>
  <si>
    <t>Risk-free Interest Rate</t>
  </si>
  <si>
    <t>Market Risk Premium</t>
  </si>
  <si>
    <t>Unlevered Beta</t>
  </si>
  <si>
    <t>Volatility</t>
  </si>
  <si>
    <t>28.7% - 30.0% </t>
  </si>
  <si>
    <t>WACC After Tax</t>
  </si>
  <si>
    <t>r(e)=</t>
  </si>
  <si>
    <t>Financing volumes</t>
  </si>
  <si>
    <t>Interest Rate</t>
  </si>
  <si>
    <t>Maturity</t>
  </si>
  <si>
    <t>Cost of Debt</t>
  </si>
  <si>
    <t>%</t>
  </si>
  <si>
    <t>Date</t>
  </si>
  <si>
    <t>Senior Secured Notes</t>
  </si>
  <si>
    <t>Senior PIK Notes</t>
  </si>
  <si>
    <t>Senior Secured Term Loan Facility (Facility B)</t>
  </si>
  <si>
    <t>Senior Secured Multi-Currency Revolving Credit Facility (RCF)</t>
  </si>
  <si>
    <t>09/30/2023</t>
  </si>
  <si>
    <t>09/30/2022</t>
  </si>
  <si>
    <t>Liabilities as of September 2023 and 2022</t>
  </si>
  <si>
    <t>Term Loan B</t>
  </si>
  <si>
    <t>RCF</t>
  </si>
  <si>
    <t>Other borrowings</t>
  </si>
  <si>
    <t>Finance liabilities (total from notes and bank liabilities)</t>
  </si>
  <si>
    <t>Lease liabilities according to IFRS 16</t>
  </si>
  <si>
    <t>Net debt                                                                                                                                    </t>
  </si>
  <si>
    <t>FCF</t>
  </si>
  <si>
    <t>                                                                                                                                                       Notes No.    </t>
  </si>
  <si>
    <t xml:space="preserve"> </t>
  </si>
  <si>
    <t>Free Cash Flow Table</t>
  </si>
  <si>
    <t>          Profit (+) or Loss (-) of the period (Net Income)</t>
  </si>
  <si>
    <t>+      </t>
  </si>
  <si>
    <t>=</t>
  </si>
  <si>
    <t>+/-    </t>
  </si>
  <si>
    <t>Increase/decrease in provisions</t>
  </si>
  <si>
    <t>Other non-cash expense/income</t>
  </si>
  <si>
    <t>Loss/profit on the disposal of non-current assets</t>
  </si>
  <si>
    <t>+/-
         </t>
  </si>
  <si>
    <t>Changes in net working capital without liabilities from investments in non-current assets</t>
  </si>
  <si>
    <t>Changes in other assets/liabilities not classifiable to investing or financing activities</t>
  </si>
  <si>
    <t>-/+     </t>
  </si>
  <si>
    <t>Paid/reimbursed taxes                                                                                                   </t>
  </si>
  <si>
    <t>Net cash flow from operating activities</t>
  </si>
  <si>
    <t>Proceeds from the disposal of non-current assets</t>
  </si>
  <si>
    <t>-        </t>
  </si>
  <si>
    <t>Payments for investments in non-current assets</t>
  </si>
  <si>
    <t>Payments for the acquisition of consolidated companies and other business units</t>
  </si>
  <si>
    <t>Net cash flow from investing activities</t>
  </si>
  <si>
    <t>Free Cash Flow (sum of net cash flows from operating and investing activities)</t>
  </si>
  <si>
    <t>Payments for the redemption of financial loans and bonds</t>
  </si>
  <si>
    <t>Payments for the redemption of lease liabilities</t>
  </si>
  <si>
    <t>Proceeds from the issuance of financial loans and bonds</t>
  </si>
  <si>
    <t>Transaction costs paid in respect of financial loans and bonds</t>
  </si>
  <si>
    <t>Interest paid</t>
  </si>
  <si>
    <t>Interest received</t>
  </si>
  <si>
    <t>=
         </t>
  </si>
  <si>
    <t>Net cash flow from financing activities</t>
  </si>
  <si>
    <t>Net change in cash</t>
  </si>
  <si>
    <t>Net change in cash and cash equivalents due to currency translation</t>
  </si>
  <si>
    <t>+        </t>
  </si>
  <si>
    <t>Cash and cash equivalents at the beginning of the reporting period                                                    </t>
  </si>
  <si>
    <t>=        </t>
  </si>
  <si>
    <t>Cash and cash equivalents at the end of the reporting period                                                             </t>
  </si>
  <si>
    <t>Key Assumptions</t>
  </si>
  <si>
    <t>Sales</t>
  </si>
  <si>
    <t xml:space="preserve">Adj. EBITDA </t>
  </si>
  <si>
    <t xml:space="preserve">EBITDA margin </t>
  </si>
  <si>
    <t>D&amp;A</t>
  </si>
  <si>
    <t xml:space="preserve">EBIT </t>
  </si>
  <si>
    <t>V(2029) =</t>
  </si>
  <si>
    <t>Douglas's current Enterprise Value is the present value of its free cash flows plus the Terminal Enterprise Value:</t>
  </si>
  <si>
    <t>V(0) =</t>
  </si>
  <si>
    <t>Finally, we can estimate the value of a share of Douglas:</t>
  </si>
  <si>
    <t xml:space="preserve"> (€ millions)</t>
  </si>
  <si>
    <t>Net Debt</t>
  </si>
  <si>
    <t>Shares Outstanding</t>
  </si>
  <si>
    <t xml:space="preserve">P(0) = </t>
  </si>
  <si>
    <t>CAGR</t>
  </si>
  <si>
    <t>Total Sales</t>
  </si>
  <si>
    <t>~ 7%</t>
  </si>
  <si>
    <t xml:space="preserve">target </t>
  </si>
  <si>
    <t xml:space="preserve">CAPEX </t>
  </si>
  <si>
    <t xml:space="preserve">D&amp;A % of sales </t>
  </si>
  <si>
    <t xml:space="preserve">CAPEX % sales </t>
  </si>
  <si>
    <t xml:space="preserve">EBIT margin </t>
  </si>
  <si>
    <t xml:space="preserve">Tax rate </t>
  </si>
  <si>
    <t>Tax on EBIT</t>
  </si>
  <si>
    <t xml:space="preserve">NOPAT </t>
  </si>
  <si>
    <t>(+) D&amp;A</t>
  </si>
  <si>
    <t xml:space="preserve">(-) Capex </t>
  </si>
  <si>
    <t>(-) Δ NWC</t>
  </si>
  <si>
    <t xml:space="preserve">Unlevered FCF </t>
  </si>
  <si>
    <t xml:space="preserve">NWC % sales </t>
  </si>
  <si>
    <t>Δ NWC</t>
  </si>
  <si>
    <t>(growing perpetuity formula)</t>
  </si>
  <si>
    <t>Now, we can calculate the initial share value of Douglas</t>
  </si>
  <si>
    <t xml:space="preserve">% growth sales </t>
  </si>
  <si>
    <t>All in EUR unless stated otherwise</t>
  </si>
  <si>
    <t>Company</t>
  </si>
  <si>
    <t>EV/EBIT (CY24e)</t>
  </si>
  <si>
    <t>EV/EBITDA (CY24e)</t>
  </si>
  <si>
    <t>L'Oreal</t>
  </si>
  <si>
    <t>Beiersdorf</t>
  </si>
  <si>
    <t>Interparfums SA</t>
  </si>
  <si>
    <t>Intercos S.p.A</t>
  </si>
  <si>
    <t>The Estee Lauder Companies Inc.</t>
  </si>
  <si>
    <t>COTY INC</t>
  </si>
  <si>
    <t>Average</t>
  </si>
  <si>
    <t>Median</t>
  </si>
  <si>
    <t>ULTA BEAUTY, INC.</t>
  </si>
  <si>
    <t>Bath &amp; Body Works Inc</t>
  </si>
  <si>
    <t>Matas A/S</t>
  </si>
  <si>
    <t>Inditex</t>
  </si>
  <si>
    <t>H&amp;M Hennes &amp; Mauritz AB</t>
  </si>
  <si>
    <t>MARKS &amp; SPENCER GROUP PLC</t>
  </si>
  <si>
    <t>NEXT PLC</t>
  </si>
  <si>
    <t>Hugo Boss Group</t>
  </si>
  <si>
    <t>Shiseido</t>
  </si>
  <si>
    <t>AmorePacific</t>
  </si>
  <si>
    <t>DOUGLAS'S FINANCIALS FOR MULTIPLES</t>
  </si>
  <si>
    <t>Adj. EBITDA</t>
  </si>
  <si>
    <t>Number of Shares Outstanding</t>
  </si>
  <si>
    <t>2023-2024</t>
  </si>
  <si>
    <t>(€ millions)</t>
  </si>
  <si>
    <t>Comparable set - BEAUTY COMPS</t>
  </si>
  <si>
    <t>Comparable Set - RETAILER COMPS</t>
  </si>
  <si>
    <t>Method</t>
  </si>
  <si>
    <t>Multiples</t>
  </si>
  <si>
    <t>EV/EBITDA - Beauty (Average)</t>
  </si>
  <si>
    <t>EV/EBITDA - Retail (Average)</t>
  </si>
  <si>
    <t>EV/EBITDA - Beauty (Median)</t>
  </si>
  <si>
    <t>EV/EBIT - Retail (Median)</t>
  </si>
  <si>
    <t>EV/EBIT - Beauty (Median)</t>
  </si>
  <si>
    <t>Estimated EV</t>
  </si>
  <si>
    <t>Estimated Price</t>
  </si>
  <si>
    <t>EV/EBITDA - Retail (Median)</t>
  </si>
  <si>
    <t>IPO PRICE COMPARISON</t>
  </si>
  <si>
    <t>IPO Price - High</t>
  </si>
  <si>
    <t>IPO Price - Mid</t>
  </si>
  <si>
    <t>IPO Price - Low</t>
  </si>
  <si>
    <t>MULTIPLES-BASED ESTIMATED VALUATION - DOUGLAS AG</t>
  </si>
  <si>
    <t>r(d) =</t>
  </si>
  <si>
    <t>FCF Unlevered</t>
  </si>
  <si>
    <t>PV (FCF)</t>
  </si>
  <si>
    <t>PV (TV)</t>
  </si>
  <si>
    <t>r(u) =</t>
  </si>
  <si>
    <t>TV</t>
  </si>
  <si>
    <t>Interest Tax Shield</t>
  </si>
  <si>
    <t>PV (Tax Shield)</t>
  </si>
  <si>
    <t>Tax rate</t>
  </si>
  <si>
    <t>r(d)</t>
  </si>
  <si>
    <t>(€/millions)</t>
  </si>
  <si>
    <t>Vl=</t>
  </si>
  <si>
    <t>V(u)</t>
  </si>
  <si>
    <t>FCF Forecast (€/millions)</t>
  </si>
  <si>
    <t>P(0) =</t>
  </si>
  <si>
    <t xml:space="preserve">APV VALUATION </t>
  </si>
  <si>
    <t>g rate =</t>
  </si>
  <si>
    <t>DCF VALUATION</t>
  </si>
  <si>
    <t>MULTIPLES VALUATION - DOUGLAS AG</t>
  </si>
  <si>
    <t>CAGR - Sales Growth
(decreasing trajectory)</t>
  </si>
  <si>
    <t>EBITDA Margin
(17.73% to 20.00%)</t>
  </si>
  <si>
    <t>D&amp;A
(declining as % of sales, rising in absolute terms)</t>
  </si>
  <si>
    <t>CAPEX
(declining from ~3.5% to
~3.3% of sales)</t>
  </si>
  <si>
    <t>WACC =</t>
  </si>
  <si>
    <r>
      <t>The decelerating revenue trajectory is the</t>
    </r>
    <r>
      <rPr>
        <b/>
        <sz val="11"/>
        <color theme="1"/>
        <rFont val="Arial"/>
        <family val="2"/>
      </rPr>
      <t xml:space="preserve"> spine of the entire forecast </t>
    </r>
    <r>
      <rPr>
        <sz val="11"/>
        <color theme="1"/>
        <rFont val="Arial"/>
        <family val="2"/>
      </rPr>
      <t>and rests on</t>
    </r>
    <r>
      <rPr>
        <b/>
        <sz val="11"/>
        <color theme="1"/>
        <rFont val="Arial"/>
        <family val="2"/>
      </rPr>
      <t xml:space="preserve"> three forces converging in the same direction</t>
    </r>
    <r>
      <rPr>
        <sz val="11"/>
        <color theme="1"/>
        <rFont val="Arial"/>
        <family val="2"/>
      </rPr>
      <t xml:space="preserve">. The opening year inherits the residual of a strong FY23, </t>
    </r>
    <r>
      <rPr>
        <b/>
        <sz val="11"/>
        <color theme="1"/>
        <rFont val="Arial"/>
        <family val="2"/>
      </rPr>
      <t>when Douglas benefited from post-pandemic "lipstick effect" dynamics and revenge spending in selective beauty</t>
    </r>
    <r>
      <rPr>
        <sz val="11"/>
        <color theme="1"/>
        <rFont val="Arial"/>
        <family val="2"/>
      </rPr>
      <t xml:space="preserve"> across Europe; the assumption is that this tailwind </t>
    </r>
    <r>
      <rPr>
        <b/>
        <sz val="11"/>
        <color theme="1"/>
        <rFont val="Arial"/>
        <family val="2"/>
      </rPr>
      <t>fades gradually rather than collapses</t>
    </r>
    <r>
      <rPr>
        <sz val="11"/>
        <color theme="1"/>
        <rFont val="Arial"/>
        <family val="2"/>
      </rPr>
      <t xml:space="preserve">, leaving FY24 still elevated but visibly off the FY23 peak. From there, growth steps down each year as the </t>
    </r>
    <r>
      <rPr>
        <b/>
        <sz val="11"/>
        <color theme="1"/>
        <rFont val="Arial"/>
        <family val="2"/>
      </rPr>
      <t>base effect unwinds</t>
    </r>
    <r>
      <rPr>
        <sz val="11"/>
        <color theme="1"/>
        <rFont val="Arial"/>
        <family val="2"/>
      </rPr>
      <t xml:space="preserve"> and the company-specific levers (committed store openings, e-commerce penetration, geographic push into Eastern Europe) do progressively less incremental work relative to a larger revenue base. By the back end of the forecast, growth converges toward the </t>
    </r>
    <r>
      <rPr>
        <b/>
        <sz val="11"/>
        <color theme="1"/>
        <rFont val="Arial"/>
        <family val="2"/>
      </rPr>
      <t>structural rate of European selective beauty</t>
    </r>
    <r>
      <rPr>
        <sz val="11"/>
        <color theme="1"/>
        <rFont val="Arial"/>
        <family val="2"/>
      </rPr>
      <t xml:space="preserve">, which is the natural ceiling for a player that already </t>
    </r>
    <r>
      <rPr>
        <b/>
        <sz val="11"/>
        <color theme="1"/>
        <rFont val="Arial"/>
        <family val="2"/>
      </rPr>
      <t>leads DACH and ranks top-three across most of Europe</t>
    </r>
    <r>
      <rPr>
        <sz val="11"/>
        <color theme="1"/>
        <rFont val="Arial"/>
        <family val="2"/>
      </rPr>
      <t xml:space="preserve">. The terminal year lands at the upper end of that structural range, reflecting the view that Douglas's brand and footprint advantages allow it to </t>
    </r>
    <r>
      <rPr>
        <b/>
        <sz val="11"/>
        <color theme="1"/>
        <rFont val="Arial"/>
        <family val="2"/>
      </rPr>
      <t>grow modestly above the average European beauty retailer in perpetuity, but not dramatically so</t>
    </r>
    <r>
      <rPr>
        <sz val="11"/>
        <color theme="1"/>
        <rFont val="Arial"/>
        <family val="2"/>
      </rPr>
      <t xml:space="preserve">. Reading the terminal print as a </t>
    </r>
    <r>
      <rPr>
        <b/>
        <sz val="11"/>
        <color theme="1"/>
        <rFont val="Arial"/>
        <family val="2"/>
      </rPr>
      <t>ceiling rather than a target</t>
    </r>
    <r>
      <rPr>
        <sz val="11"/>
        <color theme="1"/>
        <rFont val="Arial"/>
        <family val="2"/>
      </rPr>
      <t xml:space="preserve"> is the more defensible interpretation, particularly given that </t>
    </r>
    <r>
      <rPr>
        <b/>
        <sz val="11"/>
        <color theme="1"/>
        <rFont val="Arial"/>
        <family val="2"/>
      </rPr>
      <t>g</t>
    </r>
    <r>
      <rPr>
        <sz val="11"/>
        <color theme="1"/>
        <rFont val="Arial"/>
        <family val="2"/>
      </rPr>
      <t xml:space="preserve"> in the terminal value is set well </t>
    </r>
    <r>
      <rPr>
        <b/>
        <sz val="11"/>
        <color theme="1"/>
        <rFont val="Arial"/>
        <family val="2"/>
      </rPr>
      <t>below this in line with the ECB's medium-term inflation anchor</t>
    </r>
    <r>
      <rPr>
        <sz val="11"/>
        <color theme="1"/>
        <rFont val="Arial"/>
        <family val="2"/>
      </rPr>
      <t xml:space="preserve"> and </t>
    </r>
    <r>
      <rPr>
        <b/>
        <sz val="11"/>
        <color theme="1"/>
        <rFont val="Arial"/>
        <family val="2"/>
      </rPr>
      <t>Damodaran's stable-growth cap</t>
    </r>
    <r>
      <rPr>
        <sz val="11"/>
        <color theme="1"/>
        <rFont val="Arial"/>
        <family val="2"/>
      </rPr>
      <t>.</t>
    </r>
  </si>
  <si>
    <r>
      <t xml:space="preserve">In absolute terms CAPEX is rising every year, which on first glance looks inconsistent with a "normalising" investment narrative, but the relevant lens is </t>
    </r>
    <r>
      <rPr>
        <b/>
        <sz val="11"/>
        <color theme="1"/>
        <rFont val="Arial"/>
        <family val="2"/>
      </rPr>
      <t>CAPEX intensity</t>
    </r>
    <r>
      <rPr>
        <sz val="11"/>
        <color theme="1"/>
        <rFont val="Arial"/>
        <family val="2"/>
      </rPr>
      <t xml:space="preserve">, not the headline number. The </t>
    </r>
    <r>
      <rPr>
        <b/>
        <sz val="11"/>
        <color theme="1"/>
        <rFont val="Arial"/>
        <family val="2"/>
      </rPr>
      <t>FY24-FY26</t>
    </r>
    <r>
      <rPr>
        <sz val="11"/>
        <color theme="1"/>
        <rFont val="Arial"/>
        <family val="2"/>
      </rPr>
      <t xml:space="preserve"> block is where the committed pipeline actually lands: the </t>
    </r>
    <r>
      <rPr>
        <b/>
        <sz val="11"/>
        <color theme="1"/>
        <rFont val="Arial"/>
        <family val="2"/>
      </rPr>
      <t>new store openings, the refurbishment programme, and the e-com platform spend</t>
    </r>
    <r>
      <rPr>
        <sz val="11"/>
        <color theme="1"/>
        <rFont val="Arial"/>
        <family val="2"/>
      </rPr>
      <t xml:space="preserve"> all hit the cash flow statement during these three years at roughly </t>
    </r>
    <r>
      <rPr>
        <b/>
        <sz val="11"/>
        <color theme="1"/>
        <rFont val="Arial"/>
        <family val="2"/>
      </rPr>
      <t>3.4-3.5% of sales</t>
    </r>
    <r>
      <rPr>
        <sz val="11"/>
        <color theme="1"/>
        <rFont val="Arial"/>
        <family val="2"/>
      </rPr>
      <t xml:space="preserve">, and that is why the ratio sits well above what a steady-state retailer would run. From FY27 onward the absolute number keeps growing only because the revenue base is growing, but the </t>
    </r>
    <r>
      <rPr>
        <b/>
        <sz val="11"/>
        <color theme="1"/>
        <rFont val="Arial"/>
        <family val="2"/>
      </rPr>
      <t>intensity ratio compresses toward something closer to a maintenance level</t>
    </r>
    <r>
      <rPr>
        <sz val="11"/>
        <color theme="1"/>
        <rFont val="Arial"/>
        <family val="2"/>
      </rPr>
      <t xml:space="preserve">, roughly the cost of keeping the existing estate from going stale, plus a thin layer of selective new-store activity.
The analytically honest framing is that the FY24-FY26 spend is not really CAPEX in the value-destructive sense; it is </t>
    </r>
    <r>
      <rPr>
        <b/>
        <sz val="11"/>
        <color theme="1"/>
        <rFont val="Arial"/>
        <family val="2"/>
      </rPr>
      <t>capitalised growth investment</t>
    </r>
    <r>
      <rPr>
        <sz val="11"/>
        <color theme="1"/>
        <rFont val="Arial"/>
        <family val="2"/>
      </rPr>
      <t xml:space="preserve"> that </t>
    </r>
    <r>
      <rPr>
        <b/>
        <sz val="11"/>
        <color theme="1"/>
        <rFont val="Arial"/>
        <family val="2"/>
      </rPr>
      <t>should be earning back through the EBITDA line in the outer years</t>
    </r>
    <r>
      <rPr>
        <sz val="11"/>
        <color theme="1"/>
        <rFont val="Arial"/>
        <family val="2"/>
      </rPr>
      <t xml:space="preserve">. This can be seen in the numbers: </t>
    </r>
    <r>
      <rPr>
        <b/>
        <sz val="11"/>
        <color theme="1"/>
        <rFont val="Arial"/>
        <family val="2"/>
      </rPr>
      <t>EBITDA margin expands by ~160bps</t>
    </r>
    <r>
      <rPr>
        <sz val="11"/>
        <color theme="1"/>
        <rFont val="Arial"/>
        <family val="2"/>
      </rPr>
      <t xml:space="preserve"> over the same window while </t>
    </r>
    <r>
      <rPr>
        <b/>
        <sz val="11"/>
        <color theme="1"/>
        <rFont val="Arial"/>
        <family val="2"/>
      </rPr>
      <t>CAPEX intensity holds near 3.4%</t>
    </r>
    <r>
      <rPr>
        <sz val="11"/>
        <color theme="1"/>
        <rFont val="Arial"/>
        <family val="2"/>
      </rPr>
      <t xml:space="preserve">, which implies a </t>
    </r>
    <r>
      <rPr>
        <b/>
        <sz val="11"/>
        <color theme="1"/>
        <rFont val="Arial"/>
        <family val="2"/>
      </rPr>
      <t>defensible incremental return on the growth investment</t>
    </r>
    <r>
      <rPr>
        <sz val="11"/>
        <color theme="1"/>
        <rFont val="Arial"/>
        <family val="2"/>
      </rPr>
      <t xml:space="preserve"> once the new doors mature. The declining CAPEX-to-sales ratio in FY27-FY29 should not be read as Douglas under-investing, but rather as the </t>
    </r>
    <r>
      <rPr>
        <b/>
        <sz val="11"/>
        <color theme="1"/>
        <rFont val="Arial"/>
        <family val="2"/>
      </rPr>
      <t>investment cycle ending on schedule</t>
    </r>
    <r>
      <rPr>
        <sz val="11"/>
        <color theme="1"/>
        <rFont val="Arial"/>
        <family val="2"/>
      </rPr>
      <t>, which is the single most important assumption underpinning the FCF inflection visible across the forecast period.</t>
    </r>
  </si>
  <si>
    <t>Unlevered Value</t>
  </si>
  <si>
    <t>Tax Shield</t>
  </si>
  <si>
    <t>Value of the investment</t>
  </si>
  <si>
    <t>Sensitivity Analysis</t>
  </si>
  <si>
    <t>We will now conduct two Sensitivity Analysis in order to test the assumption of our model and analysie how the prices changes.</t>
  </si>
  <si>
    <t>BETA &amp; WACC ESTIMATION - Damodaran Europe (Jan 2024)</t>
  </si>
  <si>
    <t>Source</t>
  </si>
  <si>
    <t>Primary industry</t>
  </si>
  <si>
    <t>Industry βu (Damodaran EU)</t>
  </si>
  <si>
    <t>Geographic scope</t>
  </si>
  <si>
    <t>Industry</t>
  </si>
  <si>
    <t>Geography</t>
  </si>
  <si>
    <t>N. firms</t>
  </si>
  <si>
    <t>βu (Unlevered)</t>
  </si>
  <si>
    <t>βL (Levered)</t>
  </si>
  <si>
    <t>D/E Ratio</t>
  </si>
  <si>
    <t>BETA ESTIMATION - Retail (Special Lines) Industry, Europe</t>
  </si>
  <si>
    <t>Retail (Special Lines)</t>
  </si>
  <si>
    <t>Europe</t>
  </si>
  <si>
    <t>Damodaran Industry Betas (Jan 2024)</t>
  </si>
  <si>
    <t>Retail (Special Lines): Douglas is a specialty beauty retailer, not a producer</t>
  </si>
  <si>
    <t>Europe: Douglas operates in 22 countries in Europe, with ~1,800 stores</t>
  </si>
  <si>
    <t>Industry βL (Damodaran EU)</t>
  </si>
  <si>
    <t>Industry D/E (Damodaran EU)</t>
  </si>
  <si>
    <t>DOUGLAS CLASSIFICATION &amp; BETA SELECTION</t>
  </si>
  <si>
    <t>BETA LEVERED</t>
  </si>
  <si>
    <t>BETA SCENARIOS</t>
  </si>
  <si>
    <t>Scenario</t>
  </si>
  <si>
    <t>βu</t>
  </si>
  <si>
    <t>Source/Rationale</t>
  </si>
  <si>
    <t>βL</t>
  </si>
  <si>
    <t>Re (CAPM)</t>
  </si>
  <si>
    <t>Douglas Prospectus</t>
  </si>
  <si>
    <t>Adjusted Estimate</t>
  </si>
  <si>
    <t>βu from IPO prospectus. Likely optimistic relative to European peer benchmarks.</t>
  </si>
  <si>
    <t>Derived from Damodaran Europe Retail (Special Lines) with conservative qualitative adjustments.</t>
  </si>
  <si>
    <t>WACC CALCULATIONS</t>
  </si>
  <si>
    <t>Inputs pre-IPO</t>
  </si>
  <si>
    <t>Tax Rate</t>
  </si>
  <si>
    <t>Risk-free rate</t>
  </si>
  <si>
    <t>Capital structure</t>
  </si>
  <si>
    <t>Damodaran (January 2024 dataset) — within the March 2024 cut-off.</t>
  </si>
  <si>
    <r>
      <t xml:space="preserve">URL: </t>
    </r>
    <r>
      <rPr>
        <i/>
        <u/>
        <sz val="11"/>
        <color theme="1"/>
        <rFont val="Arial"/>
        <family val="2"/>
      </rPr>
      <t xml:space="preserve">https://pages.stern.nyu.edu/~adamodar/ </t>
    </r>
    <r>
      <rPr>
        <sz val="11"/>
        <color theme="1"/>
        <rFont val="Arial"/>
        <family val="2"/>
      </rPr>
      <t xml:space="preserve">; </t>
    </r>
    <r>
      <rPr>
        <i/>
        <u/>
        <sz val="11"/>
        <color theme="1"/>
        <rFont val="Arial"/>
        <family val="2"/>
      </rPr>
      <t>https://pages.stern.nyu.edu/~adamodar/pc/archives/betaEurope23.xls</t>
    </r>
  </si>
  <si>
    <t>E/D+E ratio</t>
  </si>
  <si>
    <t xml:space="preserve">D/D+E ratio </t>
  </si>
  <si>
    <t>Retail (Special Lines) Industry, Europe</t>
  </si>
  <si>
    <t>r(d) after-tax</t>
  </si>
  <si>
    <t xml:space="preserve">Damodaran, A. (2024). Excess Returns: European Industry Averages — EVA Dataset, January 2024 update. NYU Stern School of Business. </t>
  </si>
  <si>
    <t>FINAL WACC OUTPUT</t>
  </si>
  <si>
    <t>Rd*(1-t)</t>
  </si>
  <si>
    <r>
      <t xml:space="preserve">URL: </t>
    </r>
    <r>
      <rPr>
        <i/>
        <u/>
        <sz val="11"/>
        <color theme="1"/>
        <rFont val="Arial"/>
        <family val="2"/>
      </rPr>
      <t>https://pages.stern.nyu.edu/~adamodar/pc/archives/EVAEurope23.xls</t>
    </r>
  </si>
  <si>
    <r>
      <rPr>
        <i/>
        <sz val="10"/>
        <color theme="2" tint="-0.499984740745262"/>
        <rFont val="Arial"/>
        <family val="2"/>
      </rPr>
      <t xml:space="preserve">D/E </t>
    </r>
    <r>
      <rPr>
        <sz val="10"/>
        <color theme="2" tint="-0.499984740745262"/>
        <rFont val="Arial"/>
        <family val="2"/>
      </rPr>
      <t>from Damodaran European Retail (Special Lines) peers, used to avoid circularity from using Douglas' own equity value.</t>
    </r>
  </si>
  <si>
    <r>
      <t xml:space="preserve">Now we compute the price per share using the </t>
    </r>
    <r>
      <rPr>
        <b/>
        <sz val="11"/>
        <color theme="1"/>
        <rFont val="Aptos Narrow"/>
        <scheme val="minor"/>
      </rPr>
      <t>estimated WACC</t>
    </r>
    <r>
      <rPr>
        <sz val="11"/>
        <color theme="1"/>
        <rFont val="Aptos Narrow"/>
        <family val="2"/>
        <scheme val="minor"/>
      </rPr>
      <t>:</t>
    </r>
  </si>
  <si>
    <r>
      <t xml:space="preserve">We compute the Terminal Enterprise Value as follows, since </t>
    </r>
    <r>
      <rPr>
        <b/>
        <sz val="11"/>
        <color theme="1"/>
        <rFont val="Arial"/>
        <family val="2"/>
      </rPr>
      <t>revenue growth is assumed to remain constant at 3,5%</t>
    </r>
    <r>
      <rPr>
        <sz val="11"/>
        <color theme="1"/>
        <rFont val="Arial"/>
        <family val="2"/>
      </rPr>
      <t>:</t>
    </r>
  </si>
  <si>
    <t>We compute the Enterprise Value as follows, since revenue growth is assumed to remain constant at 5%:</t>
  </si>
  <si>
    <t>Terminal Growth Rate 
g = 2%</t>
  </si>
  <si>
    <t>The terminal growth rate is conceptually distinct from the year-by-year explicit growth assumptions: it represents the perpetual growth rate applied to FCF beyond 2029 (i.e., from 2030 onward, when Douglas is assumed to be in steady-state). We set g = 2.0%, anchored to two reinforcing benchmarks. First, the ECB's medium-term inflation target of 2.0% (ECB, Monetary Policy Strategy Review, July 2021), which serves as the long-run nominal growth floor of the Eurozone economy. Second, Damodaran's stable-growth cap (g ≤ r_f), which binds at 2.0% given our risk-free rate, ensuring methodological internal consistency. The natural step-down from the FY29 explicit growth (3.5%) to 2.0% reflects Douglas's expected transition to a steady-state European omnichannel retailer by 2030, with growth tracking the long-run inflation anchor of its operating economy.</t>
  </si>
  <si>
    <r>
      <t xml:space="preserve">The </t>
    </r>
    <r>
      <rPr>
        <b/>
        <sz val="11"/>
        <color theme="1"/>
        <rFont val="Arial"/>
        <family val="2"/>
      </rPr>
      <t>227bps of margin expansion</t>
    </r>
    <r>
      <rPr>
        <sz val="11"/>
        <color theme="1"/>
        <rFont val="Arial"/>
        <family val="2"/>
      </rPr>
      <t xml:space="preserve"> across the forecast horizon is best </t>
    </r>
    <r>
      <rPr>
        <b/>
        <sz val="11"/>
        <color theme="1"/>
        <rFont val="Arial"/>
        <family val="2"/>
      </rPr>
      <t>understood as Douglas finally earning operating leverage on a cost base that was sized for a much larger business</t>
    </r>
    <r>
      <rPr>
        <sz val="11"/>
        <color theme="1"/>
        <rFont val="Arial"/>
        <family val="2"/>
      </rPr>
      <t xml:space="preserve"> well before the revenue caught up. The jump in FY24 is modest (17.73% to 18.4%) because </t>
    </r>
    <r>
      <rPr>
        <b/>
        <sz val="11"/>
        <color theme="1"/>
        <rFont val="Arial"/>
        <family val="2"/>
      </rPr>
      <t>the company is still absorbing the dual drag of opening new stores at a 7% sales growth clip</t>
    </r>
    <r>
      <rPr>
        <sz val="11"/>
        <color theme="1"/>
        <rFont val="Arial"/>
        <family val="2"/>
      </rPr>
      <t xml:space="preserve"> and </t>
    </r>
    <r>
      <rPr>
        <b/>
        <sz val="11"/>
        <color theme="1"/>
        <rFont val="Arial"/>
        <family val="2"/>
      </rPr>
      <t>running a parallel digital investment programme</t>
    </r>
    <r>
      <rPr>
        <sz val="11"/>
        <color theme="1"/>
        <rFont val="Arial"/>
        <family val="2"/>
      </rPr>
      <t xml:space="preserve">, both of which front-load opex before any return shows up on the P&amp;L. From FY25 onward the picture changes meaningfully: store sales decelerate from 7.0% to 4.0% while EBITDA margin keeps climbing, which is the giveaway that the expansion is no longer about top-line muscle but about the </t>
    </r>
    <r>
      <rPr>
        <b/>
        <sz val="11"/>
        <color theme="1"/>
        <rFont val="Arial"/>
        <family val="2"/>
      </rPr>
      <t>same store and head-office cost block being spread over a bigger revenue denominator</t>
    </r>
    <r>
      <rPr>
        <sz val="11"/>
        <color theme="1"/>
        <rFont val="Arial"/>
        <family val="2"/>
      </rPr>
      <t xml:space="preserve">. Personnel and rent simply do not scale linearly with sales, and once the new-store cohort matures past its ramp period, the </t>
    </r>
    <r>
      <rPr>
        <b/>
        <sz val="11"/>
        <color theme="1"/>
        <rFont val="Arial"/>
        <family val="2"/>
      </rPr>
      <t>contribution margin on incremental euros is materially above the group average</t>
    </r>
    <r>
      <rPr>
        <sz val="11"/>
        <color theme="1"/>
        <rFont val="Arial"/>
        <family val="2"/>
      </rPr>
      <t xml:space="preserve">.
The 20.0% endpoint also looks like a conservative landing zone rather than a stretch target. Douglas operates </t>
    </r>
    <r>
      <rPr>
        <b/>
        <sz val="11"/>
        <color theme="1"/>
        <rFont val="Arial"/>
        <family val="2"/>
      </rPr>
      <t>~1,800 physical doors</t>
    </r>
    <r>
      <rPr>
        <sz val="11"/>
        <color theme="1"/>
        <rFont val="Arial"/>
        <family val="2"/>
      </rPr>
      <t xml:space="preserve">, and there is a hard floor on what an omnichannel beauty retailer can extract from a store-heavy footprint. Pure-play e-com peers run structurally lighter and will always print higher margins on this metric. Reading 20% </t>
    </r>
    <r>
      <rPr>
        <b/>
        <sz val="11"/>
        <color theme="1"/>
        <rFont val="Arial"/>
        <family val="2"/>
      </rPr>
      <t>as a ceiling rather than a waypoint</t>
    </r>
    <r>
      <rPr>
        <sz val="11"/>
        <color theme="1"/>
        <rFont val="Arial"/>
        <family val="2"/>
      </rPr>
      <t xml:space="preserve"> is the more defensible interpretation, especially given that the </t>
    </r>
    <r>
      <rPr>
        <b/>
        <sz val="11"/>
        <color theme="1"/>
        <rFont val="Arial"/>
        <family val="2"/>
      </rPr>
      <t>corporate brand mix shift toward 10%+ of sales</t>
    </r>
    <r>
      <rPr>
        <sz val="11"/>
        <color theme="1"/>
        <rFont val="Arial"/>
        <family val="2"/>
      </rPr>
      <t xml:space="preserve"> is doing real work in the back half of the forecast: </t>
    </r>
    <r>
      <rPr>
        <b/>
        <sz val="11"/>
        <color theme="1"/>
        <rFont val="Arial"/>
        <family val="2"/>
      </rPr>
      <t>own-label carries a meaningfully better gross margin</t>
    </r>
    <r>
      <rPr>
        <sz val="11"/>
        <color theme="1"/>
        <rFont val="Arial"/>
        <family val="2"/>
      </rPr>
      <t>, and that is where the last 50–80bps of the expansion is realistically coming from.</t>
    </r>
  </si>
  <si>
    <t>Terminal g rate =</t>
  </si>
  <si>
    <r>
      <t xml:space="preserve">1. We suppose that the </t>
    </r>
    <r>
      <rPr>
        <b/>
        <i/>
        <sz val="12"/>
        <color theme="1"/>
        <rFont val="Arial"/>
        <family val="2"/>
      </rPr>
      <t>% growth sales will be a constant perpetuity at 5%</t>
    </r>
    <r>
      <rPr>
        <sz val="12"/>
        <color theme="1"/>
        <rFont val="Arial"/>
        <family val="2"/>
      </rPr>
      <t>:</t>
    </r>
  </si>
  <si>
    <r>
      <t xml:space="preserve">2. If we maintain a constant growth rate and expect Douglas's </t>
    </r>
    <r>
      <rPr>
        <b/>
        <sz val="12"/>
        <color theme="1"/>
        <rFont val="Arial"/>
        <family val="2"/>
      </rPr>
      <t>EBIT margin to be 7% of sales</t>
    </r>
    <r>
      <rPr>
        <sz val="12"/>
        <color theme="1"/>
        <rFont val="Arial"/>
        <family val="2"/>
      </rPr>
      <t>, we can analyse how the FCF would change:</t>
    </r>
  </si>
  <si>
    <r>
      <t xml:space="preserve">We will now compute the APV Valuation using the </t>
    </r>
    <r>
      <rPr>
        <b/>
        <sz val="11"/>
        <color theme="1"/>
        <rFont val="Arial"/>
        <family val="2"/>
      </rPr>
      <t>estimated beta for the calculation of r(u).</t>
    </r>
  </si>
  <si>
    <r>
      <t xml:space="preserve">The NWC line looks worse than it is. The outsized </t>
    </r>
    <r>
      <rPr>
        <b/>
        <sz val="11"/>
        <color theme="1"/>
        <rFont val="Arial"/>
        <family val="2"/>
      </rPr>
      <t>FY23 outflow</t>
    </r>
    <r>
      <rPr>
        <sz val="11"/>
        <color theme="1"/>
        <rFont val="Arial"/>
        <family val="2"/>
      </rPr>
      <t xml:space="preserve"> is </t>
    </r>
    <r>
      <rPr>
        <b/>
        <sz val="11"/>
        <color theme="1"/>
        <rFont val="Arial"/>
        <family val="2"/>
      </rPr>
      <t>unusually large</t>
    </r>
    <r>
      <rPr>
        <sz val="11"/>
        <color theme="1"/>
        <rFont val="Arial"/>
        <family val="2"/>
      </rPr>
      <t xml:space="preserve"> and almost certainly reflects </t>
    </r>
    <r>
      <rPr>
        <b/>
        <sz val="11"/>
        <color theme="1"/>
        <rFont val="Arial"/>
        <family val="2"/>
      </rPr>
      <t>post-LBO inventory rebuilding</t>
    </r>
    <r>
      <rPr>
        <sz val="11"/>
        <color theme="1"/>
        <rFont val="Arial"/>
        <family val="2"/>
      </rPr>
      <t xml:space="preserve"> and timing effects that should not be extrapolated. From FY24 onward the NWC absorption settles into a much tighter range and tracks roughly </t>
    </r>
    <r>
      <rPr>
        <b/>
        <sz val="11"/>
        <color theme="1"/>
        <rFont val="Arial"/>
        <family val="2"/>
      </rPr>
      <t>4% of incremental sales</t>
    </r>
    <r>
      <rPr>
        <sz val="11"/>
        <color theme="1"/>
        <rFont val="Arial"/>
        <family val="2"/>
      </rPr>
      <t xml:space="preserve">, exactly the level management has guided to and consistent with what a beauty retailer with Douglas's payable terms should be running.
The structural point worth making is that </t>
    </r>
    <r>
      <rPr>
        <b/>
        <sz val="11"/>
        <color theme="1"/>
        <rFont val="Arial"/>
        <family val="2"/>
      </rPr>
      <t>NWC is barely a constraint on this business</t>
    </r>
    <r>
      <rPr>
        <sz val="11"/>
        <color theme="1"/>
        <rFont val="Arial"/>
        <family val="2"/>
      </rPr>
      <t xml:space="preserve">, and the model reflects that. </t>
    </r>
    <r>
      <rPr>
        <b/>
        <sz val="11"/>
        <color theme="1"/>
        <rFont val="Arial"/>
        <family val="2"/>
      </rPr>
      <t>Douglas collects from customers at the till</t>
    </r>
    <r>
      <rPr>
        <sz val="11"/>
        <color theme="1"/>
        <rFont val="Arial"/>
        <family val="2"/>
      </rPr>
      <t xml:space="preserve"> (or within days for e-com) while </t>
    </r>
    <r>
      <rPr>
        <b/>
        <sz val="11"/>
        <color theme="1"/>
        <rFont val="Arial"/>
        <family val="2"/>
      </rPr>
      <t>paying suppliers on extended terms</t>
    </r>
    <r>
      <rPr>
        <sz val="11"/>
        <color theme="1"/>
        <rFont val="Arial"/>
        <family val="2"/>
      </rPr>
      <t xml:space="preserve">, so the cash conversion cycle is meaningfully negative: </t>
    </r>
    <r>
      <rPr>
        <b/>
        <sz val="11"/>
        <color theme="1"/>
        <rFont val="Arial"/>
        <family val="2"/>
      </rPr>
      <t>payables run roughly 10x receivables on the FY23 balance sheet</t>
    </r>
    <r>
      <rPr>
        <sz val="11"/>
        <color theme="1"/>
        <rFont val="Arial"/>
        <family val="2"/>
      </rPr>
      <t xml:space="preserve">, which is the structural feature doing most of the work here. As the corporate brand mix climbs past 10% of sales, the inventory side of the equation tightens further: </t>
    </r>
    <r>
      <rPr>
        <b/>
        <sz val="11"/>
        <color theme="1"/>
        <rFont val="Arial"/>
        <family val="2"/>
      </rPr>
      <t>own-label runs on shorter lead times and lower safety stock</t>
    </r>
    <r>
      <rPr>
        <sz val="11"/>
        <color theme="1"/>
        <rFont val="Arial"/>
        <family val="2"/>
      </rPr>
      <t xml:space="preserve"> than third-party distribution, so each incremental euro of corporate brand sales requires less working capital than each incremental euro of branded distribution. The result by FY29 is a </t>
    </r>
    <r>
      <rPr>
        <b/>
        <sz val="11"/>
        <color theme="1"/>
        <rFont val="Arial"/>
        <family val="2"/>
      </rPr>
      <t>residual NWC drag of well under 0.2% of sales</t>
    </r>
    <r>
      <rPr>
        <sz val="11"/>
        <color theme="1"/>
        <rFont val="Arial"/>
        <family val="2"/>
      </rPr>
      <t>, effectively a rounding error, and a reasonable proxy for what steady-state looks like for this business model.</t>
    </r>
  </si>
  <si>
    <t xml:space="preserve">Overall interpretation of results </t>
  </si>
  <si>
    <t xml:space="preserve">Scenario </t>
  </si>
  <si>
    <t>EV</t>
  </si>
  <si>
    <t>P(0)</t>
  </si>
  <si>
    <t xml:space="preserve">vs. IPO Range </t>
  </si>
  <si>
    <t xml:space="preserve">Douglas Prospectus </t>
  </si>
  <si>
    <t xml:space="preserve">Adjusted Estimate </t>
  </si>
  <si>
    <t>The D&amp;A trajectory is mechanical. It is the accounting consequence of the CAPEX hump, with a lag. D&amp;A in any given year reflects the cumulative stock of capitalised assets being written down over their useful lives, not the current year's investment. This is why the absolute D&amp;A figure climbs steadily through the forecast even as CAPEX intensity falls: the early-period investment block is still amortising through the P&amp;L well into the outer years, dragging D&amp;A higher in absolute terms while the rapidly growing revenue base compresses the ratio.
The decline in D&amp;A as a percentage of sales should not be misread as Douglas getting "lighter" on its asset base. The honest reading is that sales are growing faster than the rate at which new asset stock is being added, exactly what one expects when the investment cycle peaks early in the forecast and the revenue lift comes through later. A steady-state retailer in this business should run with D&amp;A roughly equal to maintenance CAPEX, which implies the terminal D&amp;A ratio is still well above the long-run equilibrium and would compress further beyond the explicit forecast horizon. We treat this as deliberately conservative: collapsing D&amp;A toward CAPEX more aggressively within the forecast period would inflate EBIT and the resulting cash flows in a way that is hard to defend without additional assumptions about asset retirement timing.</t>
  </si>
  <si>
    <t>V(2029)</t>
  </si>
  <si>
    <t xml:space="preserve">slightly above </t>
  </si>
  <si>
    <t>ΔNWC
(normalising toward ~4% of
incremental sales)</t>
  </si>
  <si>
    <t>Based on an APV valuation of €34.00, Douglas AG is undervalued relative to its IPO price range of €26.00 – €30.00.
Since the calculated intrinsic value is significantly higher than the top end of the offering range, there is a substantial margin of safety for an institutional investor. Buying at the final IPO price of €26.00 would allow an investor to acquire the 34,592,908 shares at a 30% discount to their fundamental worth. Given that the market is offering the company's future cash flows and tax shields at a price far below this fair value estimate, the recommendation is to buy.</t>
  </si>
  <si>
    <t>Based on an APV valuation of €55.77, the stock is significantly undervalued compared to the IPO price range of €26.00 – €30.00. Given that the calculated intrinsic value is more than double the final IPO price of €26.00, there is a massive margin of safety, and the recommendation is to buy.</t>
  </si>
  <si>
    <t xml:space="preserve">51-75% above </t>
  </si>
  <si>
    <r>
      <t xml:space="preserve">The adjusted WACC uses an unlevered beta of 1.32 and a levered beta of 1.52. The higher discount rate reduces the Terminal Enterprise Value to €7,456m, Enterprise Value to €6,336m, and the implied share price to </t>
    </r>
    <r>
      <rPr>
        <b/>
        <sz val="11"/>
        <color theme="1"/>
        <rFont val="Arial"/>
        <family val="2"/>
      </rPr>
      <t>€30.82</t>
    </r>
    <r>
      <rPr>
        <sz val="11"/>
        <color theme="1"/>
        <rFont val="Arial"/>
        <family val="2"/>
      </rPr>
      <t xml:space="preserve">. This value is only slightly above the IPO price range of €26–€30, suggesting that once risk is appropriately accounted for, the apparent undervaluation largely disappears. The reduced valuation relative to the prospectus scenario is driven entirely by the higher discount rate, not by changes in cash flow assumptions. This indicates that </t>
    </r>
    <r>
      <rPr>
        <b/>
        <sz val="11"/>
        <color theme="1"/>
        <rFont val="Arial"/>
        <family val="2"/>
      </rPr>
      <t>the stock is fairly valued to slightly overvalued,</t>
    </r>
    <r>
      <rPr>
        <sz val="11"/>
        <color theme="1"/>
        <rFont val="Arial"/>
        <family val="2"/>
      </rPr>
      <t xml:space="preserve"> and that the IPO pricing leaves limited upside for investors under more realistic risk assumptions.</t>
    </r>
  </si>
  <si>
    <r>
      <t>The prospectus WACC uses an unlevered beta of 1.00 (the figure Douglas provided in the IPO documentation). This beta is optimistically low: it reflects management's interest in presenting a lower discount rate to maximize the implied share price and justify the IPO price range of €26–€30. By discounting the 2024–2029 unlevered FCFs at 9.63% and applying a 2% terminal growth rate, the model leads to a price per share of </t>
    </r>
    <r>
      <rPr>
        <b/>
        <sz val="11"/>
        <color theme="1"/>
        <rFont val="Arial"/>
        <family val="2"/>
      </rPr>
      <t>€45.51</t>
    </r>
    <r>
      <rPr>
        <sz val="11"/>
        <color theme="1"/>
        <rFont val="Arial"/>
        <family val="2"/>
      </rPr>
      <t xml:space="preserve">. The price is 51%-75% above the IPO price range of €26–€30, the discrepancy arises directly from the use of an unlevered beta of 1.00. This indicates </t>
    </r>
    <r>
      <rPr>
        <b/>
        <sz val="11"/>
        <color theme="1"/>
        <rFont val="Arial"/>
        <family val="2"/>
      </rPr>
      <t>the stock is highly undervalued</t>
    </r>
    <r>
      <rPr>
        <sz val="11"/>
        <color theme="1"/>
        <rFont val="Arial"/>
        <family val="2"/>
      </rPr>
      <t xml:space="preserve">.  </t>
    </r>
  </si>
  <si>
    <t xml:space="preserve">KEY VALUATION OUTPUTS </t>
  </si>
  <si>
    <t xml:space="preserve">Adjusted WACC 11.91%		</t>
  </si>
  <si>
    <t>Adjusted r(u) 11.90%</t>
  </si>
  <si>
    <t xml:space="preserve">DCF </t>
  </si>
  <si>
    <t xml:space="preserve">APV </t>
  </si>
  <si>
    <t>Multiple Median</t>
  </si>
  <si>
    <t>VALUATION RESULTS BY METHOD (€ per share)</t>
  </si>
  <si>
    <t>Prospectus (βu=1.00, WACC 9.63%)</t>
  </si>
  <si>
    <t>Adjusted (βu=1.32, WACC 11.91%)</t>
  </si>
  <si>
    <t xml:space="preserve">Method </t>
  </si>
  <si>
    <t>EV (€m)</t>
  </si>
  <si>
    <t>Net Debt (€m)</t>
  </si>
  <si>
    <t>Equity (€m)</t>
  </si>
  <si>
    <t>Shares (m)</t>
  </si>
  <si>
    <t xml:space="preserve">P(0) per share </t>
  </si>
  <si>
    <t>vs. IPO €26</t>
  </si>
  <si>
    <t>APV</t>
  </si>
  <si>
    <t xml:space="preserve">Multiples EV/EBITDA </t>
  </si>
  <si>
    <t>Base (r(u)=9.5%)</t>
  </si>
  <si>
    <t>Adjusted (r(u)=11.9%)</t>
  </si>
  <si>
    <t>EV/EBITDA Beauty Avg</t>
  </si>
  <si>
    <t>EV/EBITDA Beauty Median</t>
  </si>
  <si>
    <t>EV/EBITDA Retail Avg</t>
  </si>
  <si>
    <t>EV/EBITDA Retail Median</t>
  </si>
  <si>
    <t>Multiples EV/EBIT</t>
  </si>
  <si>
    <t>EV/EBIT Beauty Median</t>
  </si>
  <si>
    <t>EV/EBIT Retail Median</t>
  </si>
  <si>
    <t xml:space="preserve">Sensitivity analysis DCF </t>
  </si>
  <si>
    <t>Const. 5% growth perpetuity</t>
  </si>
  <si>
    <t>5% growth + 7% EBIT margin</t>
  </si>
  <si>
    <t>NB: Beauty comparables (L'Oréal, Estée Lauder, Shiseido, Coty, etc.) are brand-owners with structurally higher margins than Douglas, which is a specialty retailer. Retail comparables (Inditex, H&amp;M, Ulta, M&amp;S, etc.) are the more relevant peer set. We therefore weight Retail multiples and DCF/APV results most heavily in our final view.</t>
  </si>
  <si>
    <t xml:space="preserve">25-45%  above </t>
  </si>
  <si>
    <t xml:space="preserve">Const. 5% growth perpetuity	</t>
  </si>
  <si>
    <t xml:space="preserve">5% growth + 7% EBIT margin	</t>
  </si>
  <si>
    <t xml:space="preserve">Average P(0) per share </t>
  </si>
  <si>
    <t xml:space="preserve">Median P(0) per share </t>
  </si>
  <si>
    <r>
      <t xml:space="preserve">Comparing this result (P(0)= €29.20) with the one of the DCF in which the revenue growth was not constant, we see that a lower EBIT margin reduces the Operating Income, which directly lowers free cash flow and therefore the EV. </t>
    </r>
    <r>
      <rPr>
        <b/>
        <sz val="10"/>
        <color theme="1"/>
        <rFont val="Arial"/>
        <family val="2"/>
      </rPr>
      <t>Small changes in profitability assumptions can have large effects on valuation</t>
    </r>
    <r>
      <rPr>
        <sz val="10"/>
        <color theme="1"/>
        <rFont val="Arial"/>
        <family val="2"/>
      </rPr>
      <t>.</t>
    </r>
  </si>
  <si>
    <t xml:space="preserve">in between </t>
  </si>
  <si>
    <t>DCF - Sensitivity Analysis</t>
  </si>
  <si>
    <r>
      <t xml:space="preserve">Comparing this result (P(0) = €37.49) with the variable-growth DCF (P(0) = €30.82) under the same estimated WACC of 11.91%, the difference is  </t>
    </r>
    <r>
      <rPr>
        <b/>
        <sz val="9"/>
        <color rgb="FF000000"/>
        <rFont val="Arial"/>
        <family val="2"/>
      </rPr>
      <t>€6.67 per share</t>
    </r>
    <r>
      <rPr>
        <sz val="9"/>
        <color rgb="FF000000"/>
        <rFont val="Arial"/>
        <family val="2"/>
      </rPr>
      <t>. The valuation is highly sensitive to long-term growth assumptions, particularly due to the weight of the terminal value in the DCF framework. In fact,the terminal value represents the majority of total firm value. Therefore, even small changes in long-term growth assumptions have a disproportionate impact on price. The analysis show that higher perpetual growth rate significantly increases future cash flows, leading to a higher valuation.</t>
    </r>
  </si>
  <si>
    <t xml:space="preserve">Retail median EV/EBITDA </t>
  </si>
  <si>
    <t xml:space="preserve">FINAL RECOMMENDATION:  BUY conditional on pricing </t>
  </si>
  <si>
    <t xml:space="preserve">DOUGLAS AG IPO Valuation Outputs </t>
  </si>
  <si>
    <r>
      <t xml:space="preserve">Across the different valuation methodologies (DCF, APV, and trading multiples), the estimated intrinsic value of Douglas generally exceeds or is close to the IPO price range of €26–€30. The estimated intrinsic value generally lies in the range of €30–34 per share under risk-adjusted assumptions. While this range is above the lower bound of the IPO price (€26), it remains close to the upper bound (€30), implying limited upside potential.
1. Under the </t>
    </r>
    <r>
      <rPr>
        <b/>
        <sz val="11"/>
        <color theme="1"/>
        <rFont val="Arial"/>
        <family val="2"/>
      </rPr>
      <t>prospectus assumumptios</t>
    </r>
    <r>
      <rPr>
        <sz val="11"/>
        <color theme="1"/>
        <rFont val="Arial"/>
        <family val="2"/>
      </rPr>
      <t xml:space="preserve"> (a lower WACC driven by an unlevered beta of 1.00), the DCF valuation yields a significantly higher share price (€45.51), suggesting an undervaluation. Nevertheless, this result is driven by optimistic risk assumptions, which mechanically inflate the present value of future cash flows.
2. Under</t>
    </r>
    <r>
      <rPr>
        <b/>
        <sz val="11"/>
        <color theme="1"/>
        <rFont val="Arial"/>
        <family val="2"/>
      </rPr>
      <t xml:space="preserve"> risk-adjusted assumptions</t>
    </r>
    <r>
      <rPr>
        <sz val="11"/>
        <color theme="1"/>
        <rFont val="Arial"/>
        <family val="2"/>
      </rPr>
      <t xml:space="preserve"> (βu = 1.32, WACC=11.91%), the valuation converges across methods. In this case, DCF (€30.82), APV (€34.00), and retail-based multiples (~ €30–31) indicate an intrinsic value range  between €30 and €34 per share. This suggests that:
- The </t>
    </r>
    <r>
      <rPr>
        <b/>
        <sz val="11"/>
        <color theme="1"/>
        <rFont val="Arial"/>
        <family val="2"/>
      </rPr>
      <t>lower bound of the IPO range</t>
    </r>
    <r>
      <rPr>
        <sz val="11"/>
        <color theme="1"/>
        <rFont val="Arial"/>
        <family val="2"/>
      </rPr>
      <t xml:space="preserve"> </t>
    </r>
    <r>
      <rPr>
        <b/>
        <sz val="11"/>
        <color theme="1"/>
        <rFont val="Arial"/>
        <family val="2"/>
      </rPr>
      <t>(€26)</t>
    </r>
    <r>
      <rPr>
        <sz val="11"/>
        <color theme="1"/>
        <rFont val="Arial"/>
        <family val="2"/>
      </rPr>
      <t xml:space="preserve"> reflects a discount to intrinsic value, offering </t>
    </r>
    <r>
      <rPr>
        <b/>
        <sz val="11"/>
        <color theme="1"/>
        <rFont val="Arial"/>
        <family val="2"/>
      </rPr>
      <t xml:space="preserve">potential upside </t>
    </r>
    <r>
      <rPr>
        <sz val="11"/>
        <color theme="1"/>
        <rFont val="Arial"/>
        <family val="2"/>
      </rPr>
      <t xml:space="preserve">(increase in the percentage between the intrinsic value and current price).                                                                                                                                                                   - The </t>
    </r>
    <r>
      <rPr>
        <b/>
        <sz val="11"/>
        <color theme="1"/>
        <rFont val="Arial"/>
        <family val="2"/>
      </rPr>
      <t>upper bound (€30)</t>
    </r>
    <r>
      <rPr>
        <sz val="11"/>
        <color theme="1"/>
        <rFont val="Arial"/>
        <family val="2"/>
      </rPr>
      <t xml:space="preserve"> is consistent with fair value, implying limited margin of safety.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</si>
</sst>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4" formatCode="_-* #,##0.00\ &quot;€&quot;_-;\-* #,##0.00\ &quot;€&quot;_-;_-* &quot;-&quot;??\ &quot;€&quot;_-;_-@_-"/>
    <numFmt numFmtId="164" formatCode="0.0"/>
    <numFmt numFmtId="165" formatCode="#,##0.0"/>
    <numFmt numFmtId="166" formatCode="0.0%"/>
    <numFmt numFmtId="167" formatCode="mm/dd/yyyy;@"/>
    <numFmt numFmtId="168" formatCode="0.000%"/>
    <numFmt numFmtId="169" formatCode="#,##0.00;[Red]\(#,##0.00\)"/>
    <numFmt numFmtId="170" formatCode="[$€-2]\ #,##0.00;[Red]\-[$€-2]\ #,##0.00"/>
  </numFmts>
  <fonts count="54" x14ac:knownFonts="1">
    <font>
      <sz val="11"/>
      <color theme="1"/>
      <name val="Aptos Narrow"/>
      <family val="2"/>
      <scheme val="minor"/>
    </font>
    <font>
      <sz val="11"/>
      <color theme="1"/>
      <name val="Aptos Narrow"/>
      <family val="2"/>
      <scheme val="minor"/>
    </font>
    <font>
      <sz val="10"/>
      <name val="Times New Roman"/>
      <family val="1"/>
      <charset val="204"/>
    </font>
    <font>
      <sz val="8"/>
      <color indexed="8"/>
      <name val="Arial"/>
      <family val="2"/>
    </font>
    <font>
      <sz val="8"/>
      <color indexed="23"/>
      <name val="Arial"/>
      <family val="2"/>
    </font>
    <font>
      <sz val="8"/>
      <color indexed="8"/>
      <name val="Arial"/>
      <family val="1"/>
      <charset val="204"/>
    </font>
    <font>
      <sz val="10"/>
      <color indexed="8"/>
      <name val="Arial"/>
      <family val="2"/>
    </font>
    <font>
      <sz val="10"/>
      <color indexed="23"/>
      <name val="Arial"/>
      <family val="2"/>
    </font>
    <font>
      <sz val="11"/>
      <name val="Times New Roman"/>
      <family val="1"/>
      <charset val="204"/>
    </font>
    <font>
      <sz val="11"/>
      <color indexed="8"/>
      <name val="Arial"/>
      <family val="1"/>
      <charset val="204"/>
    </font>
    <font>
      <sz val="11"/>
      <color indexed="23"/>
      <name val="Arial"/>
      <family val="1"/>
      <charset val="204"/>
    </font>
    <font>
      <sz val="11"/>
      <color indexed="8"/>
      <name val="Arial"/>
      <family val="2"/>
    </font>
    <font>
      <sz val="11"/>
      <color indexed="23"/>
      <name val="Arial"/>
      <family val="2"/>
    </font>
    <font>
      <sz val="10"/>
      <color theme="1"/>
      <name val="Aptos Narrow"/>
      <family val="2"/>
      <scheme val="minor"/>
    </font>
    <font>
      <sz val="10"/>
      <name val="Arial"/>
      <family val="2"/>
    </font>
    <font>
      <sz val="11"/>
      <name val="Arial"/>
      <family val="2"/>
    </font>
    <font>
      <sz val="12"/>
      <color indexed="8"/>
      <name val="Arial"/>
      <family val="2"/>
    </font>
    <font>
      <b/>
      <sz val="11"/>
      <name val="Arial"/>
      <family val="2"/>
    </font>
    <font>
      <b/>
      <sz val="10"/>
      <color indexed="8"/>
      <name val="Arial"/>
      <family val="2"/>
    </font>
    <font>
      <b/>
      <sz val="11"/>
      <color indexed="8"/>
      <name val="Arial"/>
      <family val="2"/>
    </font>
    <font>
      <b/>
      <sz val="10"/>
      <name val="Arial"/>
      <family val="2"/>
    </font>
    <font>
      <b/>
      <sz val="11"/>
      <color theme="1"/>
      <name val="Arial"/>
      <family val="2"/>
    </font>
    <font>
      <sz val="11"/>
      <color rgb="FF808080"/>
      <name val="Arial"/>
      <family val="2"/>
    </font>
    <font>
      <i/>
      <sz val="11"/>
      <color indexed="8"/>
      <name val="Arial"/>
      <family val="2"/>
    </font>
    <font>
      <i/>
      <sz val="11"/>
      <color theme="1"/>
      <name val="Aptos Narrow"/>
      <family val="2"/>
      <scheme val="minor"/>
    </font>
    <font>
      <sz val="11"/>
      <color theme="1"/>
      <name val="Arial"/>
      <family val="2"/>
    </font>
    <font>
      <i/>
      <sz val="11"/>
      <color theme="1"/>
      <name val="Arial"/>
      <family val="2"/>
    </font>
    <font>
      <b/>
      <sz val="11"/>
      <color theme="1"/>
      <name val="Aptos Narrow"/>
      <family val="2"/>
      <scheme val="minor"/>
    </font>
    <font>
      <sz val="11"/>
      <color rgb="FFFF0000"/>
      <name val="Aptos Narrow"/>
      <family val="2"/>
      <scheme val="minor"/>
    </font>
    <font>
      <sz val="11"/>
      <color rgb="FFFF0000"/>
      <name val="Arial"/>
      <family val="2"/>
    </font>
    <font>
      <b/>
      <sz val="10"/>
      <color theme="1"/>
      <name val="Arial"/>
      <family val="2"/>
    </font>
    <font>
      <sz val="10"/>
      <color theme="1"/>
      <name val="Arial"/>
      <family val="2"/>
    </font>
    <font>
      <sz val="11"/>
      <color theme="1"/>
      <name val="Calibri"/>
      <family val="2"/>
    </font>
    <font>
      <b/>
      <sz val="14"/>
      <color theme="1"/>
      <name val="Arial"/>
      <family val="2"/>
    </font>
    <font>
      <sz val="11"/>
      <color rgb="FFFFC000"/>
      <name val="Arial"/>
      <family val="2"/>
    </font>
    <font>
      <sz val="11"/>
      <color rgb="FF82C66B"/>
      <name val="Arial"/>
      <family val="2"/>
    </font>
    <font>
      <b/>
      <sz val="16"/>
      <color theme="1"/>
      <name val="Arial"/>
      <family val="2"/>
    </font>
    <font>
      <b/>
      <sz val="22"/>
      <color theme="1"/>
      <name val="Arial"/>
      <family val="2"/>
    </font>
    <font>
      <sz val="11"/>
      <color theme="0"/>
      <name val="Arial"/>
      <family val="2"/>
    </font>
    <font>
      <b/>
      <sz val="11"/>
      <color theme="1"/>
      <name val="Aptos Narrow"/>
      <scheme val="minor"/>
    </font>
    <font>
      <b/>
      <sz val="12"/>
      <color theme="1"/>
      <name val="Arial"/>
      <family val="2"/>
    </font>
    <font>
      <sz val="12"/>
      <color theme="1"/>
      <name val="Arial"/>
      <family val="2"/>
    </font>
    <font>
      <b/>
      <i/>
      <sz val="12"/>
      <color theme="1"/>
      <name val="Arial"/>
      <family val="2"/>
    </font>
    <font>
      <i/>
      <u/>
      <sz val="11"/>
      <color theme="1"/>
      <name val="Arial"/>
      <family val="2"/>
    </font>
    <font>
      <sz val="10"/>
      <color theme="2" tint="-0.499984740745262"/>
      <name val="Arial"/>
      <family val="2"/>
    </font>
    <font>
      <i/>
      <sz val="10"/>
      <color theme="2" tint="-0.499984740745262"/>
      <name val="Arial"/>
      <family val="2"/>
    </font>
    <font>
      <sz val="12"/>
      <color rgb="FF244084"/>
      <name val="Helvetica"/>
      <family val="2"/>
    </font>
    <font>
      <b/>
      <sz val="12"/>
      <color theme="1"/>
      <name val="Aptos Narrow"/>
      <family val="2"/>
      <scheme val="minor"/>
    </font>
    <font>
      <b/>
      <sz val="18"/>
      <color theme="1"/>
      <name val="Arial"/>
      <family val="2"/>
    </font>
    <font>
      <sz val="11"/>
      <color rgb="FF92D050"/>
      <name val="Arial"/>
      <family val="2"/>
    </font>
    <font>
      <b/>
      <sz val="9"/>
      <color rgb="FF000000"/>
      <name val="Arial"/>
      <family val="2"/>
    </font>
    <font>
      <sz val="9"/>
      <color rgb="FF000000"/>
      <name val="Arial"/>
      <family val="2"/>
    </font>
    <font>
      <b/>
      <sz val="12"/>
      <color theme="0"/>
      <name val="Arial"/>
      <family val="2"/>
    </font>
    <font>
      <b/>
      <sz val="11"/>
      <color theme="0"/>
      <name val="Arial"/>
      <family val="2"/>
    </font>
  </fonts>
  <fills count="15">
    <fill>
      <patternFill patternType="none"/>
    </fill>
    <fill>
      <patternFill patternType="gray125"/>
    </fill>
    <fill>
      <patternFill patternType="solid">
        <fgColor rgb="FFE6F6F4"/>
      </patternFill>
    </fill>
    <fill>
      <patternFill patternType="solid">
        <fgColor rgb="FF9BDCD2"/>
        <bgColor indexed="64"/>
      </patternFill>
    </fill>
    <fill>
      <patternFill patternType="solid">
        <fgColor rgb="FFE6F6F4"/>
        <bgColor indexed="64"/>
      </patternFill>
    </fill>
    <fill>
      <patternFill patternType="solid">
        <fgColor rgb="FFCCFFF7"/>
        <bgColor indexed="64"/>
      </patternFill>
    </fill>
    <fill>
      <patternFill patternType="solid">
        <fgColor rgb="FFCCFEF8"/>
        <bgColor indexed="64"/>
      </patternFill>
    </fill>
    <fill>
      <patternFill patternType="solid">
        <fgColor rgb="FFA3EAE1"/>
        <bgColor indexed="64"/>
      </patternFill>
    </fill>
    <fill>
      <patternFill patternType="solid">
        <fgColor rgb="FFFFFF00"/>
        <bgColor indexed="64"/>
      </patternFill>
    </fill>
    <fill>
      <patternFill patternType="solid">
        <fgColor rgb="FFA6EEE5"/>
        <bgColor indexed="64"/>
      </patternFill>
    </fill>
    <fill>
      <patternFill patternType="solid">
        <fgColor rgb="FFE3FEFD"/>
        <bgColor indexed="64"/>
      </patternFill>
    </fill>
    <fill>
      <patternFill patternType="solid">
        <fgColor theme="0" tint="-4.9989318521683403E-2"/>
        <bgColor indexed="64"/>
      </patternFill>
    </fill>
    <fill>
      <patternFill patternType="solid">
        <fgColor rgb="FFADF8EF"/>
        <bgColor indexed="64"/>
      </patternFill>
    </fill>
    <fill>
      <patternFill patternType="solid">
        <fgColor rgb="FFEDFEFF"/>
        <bgColor indexed="64"/>
      </patternFill>
    </fill>
    <fill>
      <patternFill patternType="solid">
        <fgColor rgb="FF00B050"/>
        <bgColor indexed="64"/>
      </patternFill>
    </fill>
  </fills>
  <borders count="132">
    <border>
      <left/>
      <right/>
      <top/>
      <bottom/>
      <diagonal/>
    </border>
    <border>
      <left/>
      <right/>
      <top/>
      <bottom style="thin">
        <color rgb="FF808080"/>
      </bottom>
      <diagonal/>
    </border>
    <border>
      <left/>
      <right style="thin">
        <color rgb="FFFFFFFF"/>
      </right>
      <top style="thin">
        <color rgb="FF3CB6A3"/>
      </top>
      <bottom style="thin">
        <color rgb="FF808080"/>
      </bottom>
      <diagonal/>
    </border>
    <border>
      <left style="thin">
        <color rgb="FFFFFFFF"/>
      </left>
      <right/>
      <top style="thin">
        <color rgb="FF9BDCD2"/>
      </top>
      <bottom style="thin">
        <color rgb="FF808080"/>
      </bottom>
      <diagonal/>
    </border>
    <border>
      <left/>
      <right/>
      <top style="thin">
        <color rgb="FF808080"/>
      </top>
      <bottom style="thin">
        <color rgb="FF808080"/>
      </bottom>
      <diagonal/>
    </border>
    <border>
      <left/>
      <right style="thin">
        <color rgb="FFFFFFFF"/>
      </right>
      <top style="thin">
        <color rgb="FF808080"/>
      </top>
      <bottom style="thin">
        <color rgb="FF808080"/>
      </bottom>
      <diagonal/>
    </border>
    <border>
      <left style="thin">
        <color rgb="FFFFFFFF"/>
      </left>
      <right/>
      <top style="thin">
        <color rgb="FF808080"/>
      </top>
      <bottom style="thin">
        <color rgb="FF808080"/>
      </bottom>
      <diagonal/>
    </border>
    <border>
      <left/>
      <right/>
      <top style="thin">
        <color rgb="FF808080"/>
      </top>
      <bottom style="thin">
        <color rgb="FF000000"/>
      </bottom>
      <diagonal/>
    </border>
    <border>
      <left/>
      <right style="thin">
        <color rgb="FFFFFFFF"/>
      </right>
      <top style="thin">
        <color rgb="FF808080"/>
      </top>
      <bottom style="thin">
        <color rgb="FF000000"/>
      </bottom>
      <diagonal/>
    </border>
    <border>
      <left/>
      <right/>
      <top style="thin">
        <color rgb="FF000000"/>
      </top>
      <bottom/>
      <diagonal/>
    </border>
    <border>
      <left/>
      <right style="thin">
        <color rgb="FFFFFFFF"/>
      </right>
      <top style="thin">
        <color rgb="FF000000"/>
      </top>
      <bottom style="thin">
        <color rgb="FF3CB6A3"/>
      </bottom>
      <diagonal/>
    </border>
    <border>
      <left style="thin">
        <color rgb="FFFFFFFF"/>
      </left>
      <right/>
      <top style="thin">
        <color rgb="FF808080"/>
      </top>
      <bottom style="thin">
        <color rgb="FF9BDCD2"/>
      </bottom>
      <diagonal/>
    </border>
    <border>
      <left/>
      <right/>
      <top/>
      <bottom style="thin">
        <color rgb="FF000000"/>
      </bottom>
      <diagonal/>
    </border>
    <border>
      <left/>
      <right/>
      <top style="thin">
        <color rgb="FF000000"/>
      </top>
      <bottom style="thin">
        <color rgb="FF000000"/>
      </bottom>
      <diagonal/>
    </border>
    <border>
      <left/>
      <right style="thin">
        <color rgb="FFFFFFFF"/>
      </right>
      <top style="thin">
        <color rgb="FF000000"/>
      </top>
      <bottom style="thin">
        <color rgb="FF000000"/>
      </bottom>
      <diagonal/>
    </border>
    <border>
      <left/>
      <right style="thin">
        <color rgb="FFFFFFFF"/>
      </right>
      <top style="thin">
        <color rgb="FF000000"/>
      </top>
      <bottom/>
      <diagonal/>
    </border>
    <border>
      <left style="thin">
        <color rgb="FFFFFFFF"/>
      </left>
      <right/>
      <top style="thin">
        <color rgb="FF808080"/>
      </top>
      <bottom/>
      <diagonal/>
    </border>
    <border>
      <left/>
      <right style="thin">
        <color rgb="FFFFFFFF"/>
      </right>
      <top/>
      <bottom style="thin">
        <color rgb="FF000000"/>
      </bottom>
      <diagonal/>
    </border>
    <border>
      <left style="thin">
        <color rgb="FFFFFFFF"/>
      </left>
      <right/>
      <top/>
      <bottom style="thin">
        <color rgb="FF808080"/>
      </bottom>
      <diagonal/>
    </border>
    <border>
      <left/>
      <right style="thin">
        <color rgb="FFFFFFFF"/>
      </right>
      <top/>
      <bottom style="thin">
        <color rgb="FF808080"/>
      </bottom>
      <diagonal/>
    </border>
    <border>
      <left/>
      <right style="thin">
        <color rgb="FFFFFFFF"/>
      </right>
      <top/>
      <bottom/>
      <diagonal/>
    </border>
    <border>
      <left style="thin">
        <color rgb="FFFFFFFF"/>
      </left>
      <right/>
      <top/>
      <bottom/>
      <diagonal/>
    </border>
    <border>
      <left/>
      <right style="thin">
        <color rgb="FFFFFFFF"/>
      </right>
      <top/>
      <bottom style="thin">
        <color rgb="FF3CB6A3"/>
      </bottom>
      <diagonal/>
    </border>
    <border>
      <left style="thin">
        <color rgb="FFFFFFFF"/>
      </left>
      <right/>
      <top/>
      <bottom style="thin">
        <color rgb="FF9BDCD2"/>
      </bottom>
      <diagonal/>
    </border>
    <border>
      <left/>
      <right/>
      <top style="thin">
        <color rgb="FF000000"/>
      </top>
      <bottom style="thin">
        <color rgb="FF3CB6A3"/>
      </bottom>
      <diagonal/>
    </border>
    <border>
      <left/>
      <right/>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right/>
      <top style="thin">
        <color indexed="64"/>
      </top>
      <bottom style="thin">
        <color indexed="64"/>
      </bottom>
      <diagonal/>
    </border>
    <border>
      <left/>
      <right/>
      <top style="thin">
        <color rgb="FF000000"/>
      </top>
      <bottom style="thin">
        <color rgb="FF808080"/>
      </bottom>
      <diagonal/>
    </border>
    <border>
      <left/>
      <right/>
      <top style="thin">
        <color rgb="FF808080"/>
      </top>
      <bottom style="thin">
        <color indexed="64"/>
      </bottom>
      <diagonal/>
    </border>
    <border>
      <left/>
      <right style="thin">
        <color rgb="FFFFFFFF"/>
      </right>
      <top style="thin">
        <color rgb="FF808080"/>
      </top>
      <bottom style="thin">
        <color indexed="64"/>
      </bottom>
      <diagonal/>
    </border>
    <border>
      <left style="thin">
        <color rgb="FFFFFFFF"/>
      </left>
      <right/>
      <top style="thin">
        <color rgb="FF808080"/>
      </top>
      <bottom style="thin">
        <color indexed="64"/>
      </bottom>
      <diagonal/>
    </border>
    <border>
      <left/>
      <right/>
      <top/>
      <bottom style="thin">
        <color rgb="FF3CB6A3"/>
      </bottom>
      <diagonal/>
    </border>
    <border>
      <left style="thin">
        <color rgb="FFFFFFFF"/>
      </left>
      <right style="thin">
        <color rgb="FFFFFFFF"/>
      </right>
      <top style="thin">
        <color rgb="FF3CB6A3"/>
      </top>
      <bottom style="thin">
        <color rgb="FF808080"/>
      </bottom>
      <diagonal/>
    </border>
    <border>
      <left style="thin">
        <color rgb="FFFFFFFF"/>
      </left>
      <right style="thin">
        <color rgb="FFFFFFFF"/>
      </right>
      <top style="thin">
        <color rgb="FF808080"/>
      </top>
      <bottom style="thin">
        <color rgb="FF808080"/>
      </bottom>
      <diagonal/>
    </border>
    <border>
      <left style="thin">
        <color rgb="FFFFFFFF"/>
      </left>
      <right style="thin">
        <color rgb="FFFFFFFF"/>
      </right>
      <top style="thin">
        <color rgb="FF808080"/>
      </top>
      <bottom style="thin">
        <color rgb="FF000000"/>
      </bottom>
      <diagonal/>
    </border>
    <border>
      <left style="thin">
        <color rgb="FFFFFFFF"/>
      </left>
      <right style="thin">
        <color rgb="FFFFFFFF"/>
      </right>
      <top style="thin">
        <color rgb="FF000000"/>
      </top>
      <bottom style="thin">
        <color rgb="FF3CB6A3"/>
      </bottom>
      <diagonal/>
    </border>
    <border>
      <left style="thin">
        <color rgb="FFFFFFFF"/>
      </left>
      <right/>
      <top style="thin">
        <color rgb="FF000000"/>
      </top>
      <bottom style="thin">
        <color rgb="FF3CB6A3"/>
      </bottom>
      <diagonal/>
    </border>
    <border>
      <left/>
      <right/>
      <top style="thin">
        <color rgb="FF000000"/>
      </top>
      <bottom style="thin">
        <color indexed="64"/>
      </bottom>
      <diagonal/>
    </border>
    <border>
      <left/>
      <right style="thin">
        <color rgb="FFFFFFFF"/>
      </right>
      <top style="thin">
        <color rgb="FF000000"/>
      </top>
      <bottom style="thin">
        <color indexed="64"/>
      </bottom>
      <diagonal/>
    </border>
    <border>
      <left/>
      <right style="thin">
        <color rgb="FFFFFFFF"/>
      </right>
      <top style="thin">
        <color rgb="FF808080"/>
      </top>
      <bottom style="thin">
        <color rgb="FF3CB6A3"/>
      </bottom>
      <diagonal/>
    </border>
    <border>
      <left style="thin">
        <color rgb="FFFFFFFF"/>
      </left>
      <right style="thin">
        <color rgb="FFFFFFFF"/>
      </right>
      <top style="thin">
        <color rgb="FF808080"/>
      </top>
      <bottom style="thin">
        <color rgb="FF3CB6A3"/>
      </bottom>
      <diagonal/>
    </border>
    <border>
      <left style="thin">
        <color rgb="FFFFFFFF"/>
      </left>
      <right/>
      <top style="thin">
        <color rgb="FF808080"/>
      </top>
      <bottom style="thin">
        <color rgb="FF3CB6A3"/>
      </bottom>
      <diagonal/>
    </border>
    <border>
      <left style="thin">
        <color rgb="FFFFFFFF"/>
      </left>
      <right style="thin">
        <color rgb="FFFFFFFF"/>
      </right>
      <top/>
      <bottom style="thin">
        <color rgb="FF808080"/>
      </bottom>
      <diagonal/>
    </border>
    <border>
      <left style="thin">
        <color indexed="64"/>
      </left>
      <right/>
      <top style="thin">
        <color indexed="64"/>
      </top>
      <bottom style="thin">
        <color indexed="64"/>
      </bottom>
      <diagonal/>
    </border>
    <border>
      <left/>
      <right style="thin">
        <color rgb="FFFFFFFF"/>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rgb="FF000000"/>
      </right>
      <top/>
      <bottom/>
      <diagonal/>
    </border>
    <border>
      <left style="thin">
        <color auto="1"/>
      </left>
      <right style="thin">
        <color auto="1"/>
      </right>
      <top/>
      <bottom/>
      <diagonal/>
    </border>
    <border>
      <left style="thin">
        <color theme="1"/>
      </left>
      <right style="thin">
        <color theme="1"/>
      </right>
      <top style="thin">
        <color theme="1"/>
      </top>
      <bottom style="thin">
        <color theme="1"/>
      </bottom>
      <diagonal/>
    </border>
    <border>
      <left style="medium">
        <color theme="1"/>
      </left>
      <right/>
      <top style="thin">
        <color auto="1"/>
      </top>
      <bottom style="medium">
        <color theme="1"/>
      </bottom>
      <diagonal/>
    </border>
    <border>
      <left style="medium">
        <color theme="1"/>
      </left>
      <right style="thin">
        <color auto="1"/>
      </right>
      <top style="medium">
        <color theme="1"/>
      </top>
      <bottom style="thin">
        <color auto="1"/>
      </bottom>
      <diagonal/>
    </border>
    <border>
      <left style="thin">
        <color auto="1"/>
      </left>
      <right style="thin">
        <color auto="1"/>
      </right>
      <top style="medium">
        <color theme="1"/>
      </top>
      <bottom/>
      <diagonal/>
    </border>
    <border>
      <left style="thin">
        <color auto="1"/>
      </left>
      <right style="medium">
        <color theme="1"/>
      </right>
      <top style="medium">
        <color theme="1"/>
      </top>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thin">
        <color auto="1"/>
      </left>
      <right style="thin">
        <color theme="1"/>
      </right>
      <top/>
      <bottom/>
      <diagonal/>
    </border>
    <border>
      <left style="thin">
        <color indexed="64"/>
      </left>
      <right style="thin">
        <color theme="1"/>
      </right>
      <top/>
      <bottom style="medium">
        <color theme="1"/>
      </bottom>
      <diagonal/>
    </border>
    <border>
      <left style="thin">
        <color rgb="FFA3EAE1"/>
      </left>
      <right/>
      <top/>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thin">
        <color indexed="64"/>
      </left>
      <right style="thin">
        <color indexed="64"/>
      </right>
      <top style="thin">
        <color indexed="64"/>
      </top>
      <bottom/>
      <diagonal/>
    </border>
    <border>
      <left style="medium">
        <color indexed="64"/>
      </left>
      <right style="thin">
        <color theme="1"/>
      </right>
      <top style="medium">
        <color indexed="64"/>
      </top>
      <bottom style="thin">
        <color theme="1"/>
      </bottom>
      <diagonal/>
    </border>
    <border>
      <left style="thin">
        <color theme="1"/>
      </left>
      <right style="thin">
        <color theme="1"/>
      </right>
      <top style="thin">
        <color theme="1"/>
      </top>
      <bottom style="medium">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bottom style="thin">
        <color indexed="64"/>
      </bottom>
      <diagonal/>
    </border>
    <border>
      <left style="thin">
        <color theme="1"/>
      </left>
      <right/>
      <top/>
      <bottom/>
      <diagonal/>
    </border>
    <border>
      <left/>
      <right style="thin">
        <color theme="1"/>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style="thin">
        <color rgb="FFFFFFFF"/>
      </right>
      <top/>
      <bottom style="thin">
        <color theme="1"/>
      </bottom>
      <diagonal/>
    </border>
    <border>
      <left style="thin">
        <color indexed="64"/>
      </left>
      <right/>
      <top/>
      <bottom style="thin">
        <color indexed="64"/>
      </bottom>
      <diagonal/>
    </border>
    <border>
      <left style="thin">
        <color theme="1"/>
      </left>
      <right style="thin">
        <color theme="1"/>
      </right>
      <top style="thin">
        <color theme="1"/>
      </top>
      <bottom/>
      <diagonal/>
    </border>
    <border>
      <left style="thin">
        <color theme="2"/>
      </left>
      <right style="thin">
        <color theme="2"/>
      </right>
      <top style="thin">
        <color theme="2"/>
      </top>
      <bottom style="thin">
        <color theme="2"/>
      </bottom>
      <diagonal/>
    </border>
    <border>
      <left style="thin">
        <color rgb="FF9BDCD2"/>
      </left>
      <right style="thin">
        <color rgb="FF9BDCD2"/>
      </right>
      <top style="thin">
        <color rgb="FF9BDCD2"/>
      </top>
      <bottom style="thin">
        <color rgb="FF9BDCD2"/>
      </bottom>
      <diagonal/>
    </border>
    <border>
      <left style="thin">
        <color theme="2"/>
      </left>
      <right style="thin">
        <color theme="2"/>
      </right>
      <top/>
      <bottom style="thin">
        <color theme="2"/>
      </bottom>
      <diagonal/>
    </border>
    <border>
      <left/>
      <right style="thin">
        <color rgb="FF9BDCD2"/>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2"/>
      </left>
      <right/>
      <top/>
      <bottom style="thin">
        <color theme="2"/>
      </bottom>
      <diagonal/>
    </border>
    <border>
      <left style="thin">
        <color theme="2"/>
      </left>
      <right/>
      <top style="thin">
        <color theme="2"/>
      </top>
      <bottom style="thin">
        <color theme="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op>
      <bottom style="thin">
        <color theme="1"/>
      </bottom>
      <diagonal/>
    </border>
    <border>
      <left/>
      <right style="medium">
        <color theme="1" tint="0.499984740745262"/>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rgb="FFE3FEFD"/>
      </left>
      <right/>
      <top/>
      <bottom/>
      <diagonal/>
    </border>
    <border>
      <left/>
      <right style="thin">
        <color rgb="FFE3FEFD"/>
      </right>
      <top/>
      <bottom/>
      <diagonal/>
    </border>
    <border>
      <left style="medium">
        <color rgb="FFADF8EF"/>
      </left>
      <right/>
      <top style="medium">
        <color rgb="FFADF8EF"/>
      </top>
      <bottom/>
      <diagonal/>
    </border>
    <border>
      <left/>
      <right/>
      <top style="medium">
        <color rgb="FFADF8EF"/>
      </top>
      <bottom/>
      <diagonal/>
    </border>
    <border>
      <left style="medium">
        <color rgb="FFADF8EF"/>
      </left>
      <right/>
      <top/>
      <bottom/>
      <diagonal/>
    </border>
    <border>
      <left style="medium">
        <color rgb="FFADF8EF"/>
      </left>
      <right/>
      <top/>
      <bottom style="medium">
        <color rgb="FFADF8EF"/>
      </bottom>
      <diagonal/>
    </border>
    <border>
      <left/>
      <right/>
      <top/>
      <bottom style="medium">
        <color rgb="FFADF8EF"/>
      </bottom>
      <diagonal/>
    </border>
    <border>
      <left/>
      <right style="thin">
        <color theme="1"/>
      </right>
      <top style="medium">
        <color rgb="FFADF8EF"/>
      </top>
      <bottom/>
      <diagonal/>
    </border>
    <border>
      <left/>
      <right style="thin">
        <color theme="1"/>
      </right>
      <top/>
      <bottom style="medium">
        <color rgb="FFADF8EF"/>
      </bottom>
      <diagonal/>
    </border>
    <border>
      <left style="medium">
        <color rgb="FFA3EAE1"/>
      </left>
      <right/>
      <top style="medium">
        <color rgb="FFA3EAE1"/>
      </top>
      <bottom/>
      <diagonal/>
    </border>
    <border>
      <left/>
      <right/>
      <top style="medium">
        <color rgb="FFA3EAE1"/>
      </top>
      <bottom/>
      <diagonal/>
    </border>
    <border>
      <left style="medium">
        <color rgb="FFA3EAE1"/>
      </left>
      <right/>
      <top/>
      <bottom/>
      <diagonal/>
    </border>
    <border>
      <left style="medium">
        <color rgb="FFA3EAE1"/>
      </left>
      <right/>
      <top/>
      <bottom style="medium">
        <color rgb="FFA3EAE1"/>
      </bottom>
      <diagonal/>
    </border>
    <border>
      <left/>
      <right/>
      <top/>
      <bottom style="medium">
        <color rgb="FFA3EAE1"/>
      </bottom>
      <diagonal/>
    </border>
    <border>
      <left/>
      <right/>
      <top style="thin">
        <color indexed="64"/>
      </top>
      <bottom/>
      <diagonal/>
    </border>
    <border>
      <left/>
      <right style="medium">
        <color rgb="FFA3EAE1"/>
      </right>
      <top style="medium">
        <color rgb="FFA3EAE1"/>
      </top>
      <bottom/>
      <diagonal/>
    </border>
    <border>
      <left/>
      <right style="medium">
        <color rgb="FFA3EAE1"/>
      </right>
      <top/>
      <bottom/>
      <diagonal/>
    </border>
    <border>
      <left/>
      <right style="medium">
        <color rgb="FFA3EAE1"/>
      </right>
      <top/>
      <bottom style="medium">
        <color rgb="FFA3EAE1"/>
      </bottom>
      <diagonal/>
    </border>
    <border>
      <left style="thin">
        <color rgb="FF9BDCD2"/>
      </left>
      <right style="thin">
        <color rgb="FF9BDCD2"/>
      </right>
      <top/>
      <bottom style="thin">
        <color rgb="FF9BDCD2"/>
      </bottom>
      <diagonal/>
    </border>
    <border>
      <left style="thin">
        <color rgb="FF9BDCD2"/>
      </left>
      <right style="thin">
        <color rgb="FF9BDCD2"/>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74">
    <xf numFmtId="0" fontId="0" fillId="0" borderId="0" xfId="0"/>
    <xf numFmtId="0" fontId="2" fillId="0" borderId="0" xfId="0" applyFont="1" applyAlignment="1">
      <alignment horizontal="left" vertical="center"/>
    </xf>
    <xf numFmtId="0" fontId="6" fillId="0" borderId="0" xfId="0" applyFont="1" applyAlignment="1">
      <alignment horizontal="center" vertical="top"/>
    </xf>
    <xf numFmtId="0" fontId="7" fillId="0" borderId="0" xfId="0" applyFont="1" applyAlignment="1">
      <alignment horizontal="center" vertical="top"/>
    </xf>
    <xf numFmtId="0" fontId="8" fillId="0" borderId="0" xfId="0" applyFont="1" applyAlignment="1">
      <alignment horizontal="left" vertical="center"/>
    </xf>
    <xf numFmtId="0" fontId="9" fillId="0" borderId="0" xfId="0" applyFont="1" applyAlignment="1">
      <alignment horizontal="left" vertical="top"/>
    </xf>
    <xf numFmtId="0" fontId="11" fillId="0" borderId="13" xfId="0" applyFont="1" applyBorder="1" applyAlignment="1">
      <alignment horizontal="left" vertical="top"/>
    </xf>
    <xf numFmtId="164" fontId="11" fillId="3" borderId="14" xfId="0" applyNumberFormat="1" applyFont="1" applyFill="1" applyBorder="1" applyAlignment="1">
      <alignment horizontal="right" vertical="top" shrinkToFit="1"/>
    </xf>
    <xf numFmtId="164" fontId="12" fillId="4" borderId="6" xfId="0" applyNumberFormat="1" applyFont="1" applyFill="1" applyBorder="1" applyAlignment="1">
      <alignment horizontal="right" vertical="top" shrinkToFit="1"/>
    </xf>
    <xf numFmtId="0" fontId="11" fillId="0" borderId="9" xfId="0" applyFont="1" applyBorder="1" applyAlignment="1">
      <alignment horizontal="left" vertical="top"/>
    </xf>
    <xf numFmtId="165" fontId="11" fillId="3" borderId="15" xfId="0" applyNumberFormat="1" applyFont="1" applyFill="1" applyBorder="1" applyAlignment="1">
      <alignment horizontal="right" vertical="top" shrinkToFit="1"/>
    </xf>
    <xf numFmtId="165" fontId="12" fillId="4" borderId="16" xfId="0" applyNumberFormat="1" applyFont="1" applyFill="1" applyBorder="1" applyAlignment="1">
      <alignment horizontal="right" vertical="top" shrinkToFit="1"/>
    </xf>
    <xf numFmtId="0" fontId="11" fillId="0" borderId="12" xfId="0" applyFont="1" applyBorder="1" applyAlignment="1">
      <alignment horizontal="left" vertical="top"/>
    </xf>
    <xf numFmtId="165" fontId="11" fillId="3" borderId="17" xfId="0" applyNumberFormat="1" applyFont="1" applyFill="1" applyBorder="1" applyAlignment="1">
      <alignment horizontal="right" vertical="top" shrinkToFit="1"/>
    </xf>
    <xf numFmtId="165" fontId="12" fillId="4" borderId="18" xfId="0" applyNumberFormat="1" applyFont="1" applyFill="1" applyBorder="1" applyAlignment="1">
      <alignment horizontal="right" vertical="top" shrinkToFit="1"/>
    </xf>
    <xf numFmtId="0" fontId="11" fillId="0" borderId="1" xfId="0" applyFont="1" applyBorder="1" applyAlignment="1">
      <alignment horizontal="left" vertical="top"/>
    </xf>
    <xf numFmtId="164" fontId="11" fillId="3" borderId="19" xfId="0" applyNumberFormat="1" applyFont="1" applyFill="1" applyBorder="1" applyAlignment="1">
      <alignment horizontal="right" vertical="top" shrinkToFit="1"/>
    </xf>
    <xf numFmtId="164" fontId="12" fillId="4" borderId="18" xfId="0" applyNumberFormat="1" applyFont="1" applyFill="1" applyBorder="1" applyAlignment="1">
      <alignment horizontal="right" vertical="top" shrinkToFit="1"/>
    </xf>
    <xf numFmtId="0" fontId="11" fillId="0" borderId="4" xfId="0" applyFont="1" applyBorder="1" applyAlignment="1">
      <alignment horizontal="left" vertical="top"/>
    </xf>
    <xf numFmtId="164" fontId="11" fillId="3" borderId="5" xfId="0" applyNumberFormat="1" applyFont="1" applyFill="1" applyBorder="1" applyAlignment="1">
      <alignment horizontal="right" vertical="top" shrinkToFit="1"/>
    </xf>
    <xf numFmtId="0" fontId="11" fillId="0" borderId="7" xfId="0" applyFont="1" applyBorder="1" applyAlignment="1">
      <alignment horizontal="left" vertical="top"/>
    </xf>
    <xf numFmtId="164" fontId="11" fillId="3" borderId="8" xfId="0" applyNumberFormat="1" applyFont="1" applyFill="1" applyBorder="1" applyAlignment="1">
      <alignment horizontal="right" vertical="top" shrinkToFit="1"/>
    </xf>
    <xf numFmtId="164" fontId="11" fillId="3" borderId="15" xfId="0" applyNumberFormat="1" applyFont="1" applyFill="1" applyBorder="1" applyAlignment="1">
      <alignment horizontal="right" vertical="top" shrinkToFit="1"/>
    </xf>
    <xf numFmtId="164" fontId="12" fillId="4" borderId="16" xfId="0" applyNumberFormat="1" applyFont="1" applyFill="1" applyBorder="1" applyAlignment="1">
      <alignment horizontal="right" vertical="top" shrinkToFit="1"/>
    </xf>
    <xf numFmtId="164" fontId="11" fillId="3" borderId="17" xfId="0" applyNumberFormat="1" applyFont="1" applyFill="1" applyBorder="1" applyAlignment="1">
      <alignment horizontal="right" vertical="top" shrinkToFit="1"/>
    </xf>
    <xf numFmtId="164" fontId="11" fillId="3" borderId="10" xfId="0" applyNumberFormat="1" applyFont="1" applyFill="1" applyBorder="1" applyAlignment="1">
      <alignment horizontal="right" vertical="top" shrinkToFit="1"/>
    </xf>
    <xf numFmtId="164" fontId="12" fillId="4" borderId="11" xfId="0" applyNumberFormat="1" applyFont="1" applyFill="1" applyBorder="1" applyAlignment="1">
      <alignment horizontal="right" vertical="top" shrinkToFit="1"/>
    </xf>
    <xf numFmtId="0" fontId="9" fillId="0" borderId="0" xfId="0" applyFont="1" applyAlignment="1">
      <alignment horizontal="center" vertical="top"/>
    </xf>
    <xf numFmtId="0" fontId="10" fillId="0" borderId="0" xfId="0" applyFont="1" applyAlignment="1">
      <alignment horizontal="center" vertical="top"/>
    </xf>
    <xf numFmtId="0" fontId="11" fillId="0" borderId="0" xfId="0" applyFont="1" applyAlignment="1">
      <alignment horizontal="left" vertical="top"/>
    </xf>
    <xf numFmtId="164" fontId="11" fillId="3" borderId="22" xfId="0" applyNumberFormat="1" applyFont="1" applyFill="1" applyBorder="1" applyAlignment="1">
      <alignment horizontal="right" vertical="top" shrinkToFit="1"/>
    </xf>
    <xf numFmtId="0" fontId="2" fillId="0" borderId="0" xfId="0" applyFont="1" applyAlignment="1">
      <alignment horizontal="left"/>
    </xf>
    <xf numFmtId="0" fontId="13" fillId="0" borderId="0" xfId="0" applyFont="1"/>
    <xf numFmtId="164" fontId="7" fillId="4" borderId="3" xfId="0" applyNumberFormat="1" applyFont="1" applyFill="1" applyBorder="1" applyAlignment="1">
      <alignment horizontal="right" vertical="top" shrinkToFit="1"/>
    </xf>
    <xf numFmtId="0" fontId="6" fillId="0" borderId="4" xfId="0" applyFont="1" applyBorder="1" applyAlignment="1">
      <alignment horizontal="left" vertical="top"/>
    </xf>
    <xf numFmtId="164" fontId="7" fillId="4" borderId="6" xfId="0" applyNumberFormat="1" applyFont="1" applyFill="1" applyBorder="1" applyAlignment="1">
      <alignment horizontal="right" vertical="top" shrinkToFit="1"/>
    </xf>
    <xf numFmtId="0" fontId="6" fillId="0" borderId="7" xfId="0" applyFont="1" applyBorder="1" applyAlignment="1">
      <alignment horizontal="left" vertical="top"/>
    </xf>
    <xf numFmtId="0" fontId="6" fillId="0" borderId="9" xfId="0" applyFont="1" applyBorder="1" applyAlignment="1">
      <alignment horizontal="left" vertical="top"/>
    </xf>
    <xf numFmtId="164" fontId="7" fillId="4" borderId="11" xfId="0" applyNumberFormat="1" applyFont="1" applyFill="1" applyBorder="1" applyAlignment="1">
      <alignment horizontal="right" vertical="top" shrinkToFit="1"/>
    </xf>
    <xf numFmtId="0" fontId="5" fillId="0" borderId="0" xfId="0" applyFont="1" applyAlignment="1">
      <alignment vertical="top"/>
    </xf>
    <xf numFmtId="0" fontId="14" fillId="0" borderId="0" xfId="0" applyFont="1" applyAlignment="1">
      <alignment horizontal="left" vertical="center"/>
    </xf>
    <xf numFmtId="0" fontId="15" fillId="0" borderId="0" xfId="0" applyFont="1" applyAlignment="1">
      <alignment horizontal="left" vertical="center"/>
    </xf>
    <xf numFmtId="164" fontId="11" fillId="3" borderId="20" xfId="0" applyNumberFormat="1" applyFont="1" applyFill="1" applyBorder="1" applyAlignment="1">
      <alignment horizontal="right" vertical="top" shrinkToFi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center" vertical="center"/>
    </xf>
    <xf numFmtId="0" fontId="11" fillId="0" borderId="25" xfId="0" applyFont="1" applyBorder="1" applyAlignment="1">
      <alignment horizontal="left" vertical="top"/>
    </xf>
    <xf numFmtId="0" fontId="11" fillId="0" borderId="25" xfId="0" applyFont="1" applyBorder="1" applyAlignment="1">
      <alignment horizontal="center" vertical="top"/>
    </xf>
    <xf numFmtId="0" fontId="12" fillId="0" borderId="25" xfId="0" applyFont="1" applyBorder="1" applyAlignment="1">
      <alignment horizontal="center" vertical="top"/>
    </xf>
    <xf numFmtId="0" fontId="6" fillId="0" borderId="25" xfId="0" applyFont="1" applyBorder="1" applyAlignment="1">
      <alignment horizontal="left" vertical="top"/>
    </xf>
    <xf numFmtId="0" fontId="6" fillId="0" borderId="25" xfId="0" applyFont="1" applyBorder="1" applyAlignment="1">
      <alignment horizontal="center" vertical="top"/>
    </xf>
    <xf numFmtId="0" fontId="7" fillId="0" borderId="25" xfId="0" applyFont="1" applyBorder="1" applyAlignment="1">
      <alignment horizontal="center" vertical="top"/>
    </xf>
    <xf numFmtId="165" fontId="6" fillId="3" borderId="26" xfId="0" applyNumberFormat="1" applyFont="1" applyFill="1" applyBorder="1" applyAlignment="1">
      <alignment horizontal="right" vertical="top" shrinkToFit="1"/>
    </xf>
    <xf numFmtId="165" fontId="7" fillId="4" borderId="27" xfId="0" applyNumberFormat="1" applyFont="1" applyFill="1" applyBorder="1" applyAlignment="1">
      <alignment horizontal="right" vertical="top" shrinkToFit="1"/>
    </xf>
    <xf numFmtId="0" fontId="6" fillId="0" borderId="28" xfId="0" applyFont="1" applyBorder="1" applyAlignment="1">
      <alignment horizontal="left" vertical="top"/>
    </xf>
    <xf numFmtId="0" fontId="14" fillId="0" borderId="0" xfId="0" applyFont="1" applyAlignment="1">
      <alignment horizontal="left" vertical="center" wrapText="1"/>
    </xf>
    <xf numFmtId="164" fontId="6" fillId="3" borderId="2" xfId="0" applyNumberFormat="1" applyFont="1" applyFill="1" applyBorder="1" applyAlignment="1">
      <alignment horizontal="right" vertical="top" shrinkToFit="1"/>
    </xf>
    <xf numFmtId="164" fontId="6" fillId="3" borderId="5" xfId="0" applyNumberFormat="1" applyFont="1" applyFill="1" applyBorder="1" applyAlignment="1">
      <alignment horizontal="right" vertical="top" shrinkToFit="1"/>
    </xf>
    <xf numFmtId="164" fontId="6" fillId="3" borderId="8" xfId="0" applyNumberFormat="1" applyFont="1" applyFill="1" applyBorder="1" applyAlignment="1">
      <alignment horizontal="right" vertical="top" shrinkToFit="1"/>
    </xf>
    <xf numFmtId="164" fontId="6" fillId="3" borderId="10" xfId="0" applyNumberFormat="1" applyFont="1" applyFill="1" applyBorder="1" applyAlignment="1">
      <alignment horizontal="right" vertical="top" shrinkToFit="1"/>
    </xf>
    <xf numFmtId="0" fontId="6" fillId="0" borderId="29" xfId="0" applyFont="1" applyBorder="1" applyAlignment="1">
      <alignment horizontal="left" vertical="top"/>
    </xf>
    <xf numFmtId="166" fontId="6" fillId="3" borderId="28" xfId="0" applyNumberFormat="1" applyFont="1" applyFill="1" applyBorder="1" applyAlignment="1">
      <alignment horizontal="center" vertical="top" shrinkToFit="1"/>
    </xf>
    <xf numFmtId="166" fontId="7" fillId="4" borderId="28" xfId="0" applyNumberFormat="1" applyFont="1" applyFill="1" applyBorder="1" applyAlignment="1">
      <alignment horizontal="center" vertical="top" shrinkToFit="1"/>
    </xf>
    <xf numFmtId="165" fontId="11" fillId="3" borderId="2" xfId="0" applyNumberFormat="1" applyFont="1" applyFill="1" applyBorder="1" applyAlignment="1">
      <alignment horizontal="right" vertical="top" shrinkToFit="1"/>
    </xf>
    <xf numFmtId="10" fontId="11" fillId="3" borderId="34" xfId="0" applyNumberFormat="1" applyFont="1" applyFill="1" applyBorder="1" applyAlignment="1">
      <alignment horizontal="right" vertical="top" shrinkToFit="1"/>
    </xf>
    <xf numFmtId="10" fontId="11" fillId="3" borderId="35" xfId="0" applyNumberFormat="1" applyFont="1" applyFill="1" applyBorder="1" applyAlignment="1">
      <alignment horizontal="right" vertical="top" shrinkToFit="1"/>
    </xf>
    <xf numFmtId="10" fontId="11" fillId="3" borderId="36" xfId="0" applyNumberFormat="1" applyFont="1" applyFill="1" applyBorder="1" applyAlignment="1">
      <alignment horizontal="right" vertical="top" shrinkToFit="1"/>
    </xf>
    <xf numFmtId="165" fontId="11" fillId="3" borderId="10" xfId="0" applyNumberFormat="1" applyFont="1" applyFill="1" applyBorder="1" applyAlignment="1">
      <alignment horizontal="right" vertical="top" shrinkToFit="1"/>
    </xf>
    <xf numFmtId="0" fontId="11" fillId="0" borderId="33" xfId="0" applyFont="1" applyBorder="1" applyAlignment="1">
      <alignment horizontal="center" vertical="top"/>
    </xf>
    <xf numFmtId="0" fontId="11" fillId="0" borderId="29" xfId="0" applyFont="1" applyBorder="1" applyAlignment="1">
      <alignment horizontal="left" vertical="top"/>
    </xf>
    <xf numFmtId="0" fontId="15" fillId="3" borderId="37" xfId="0" applyFont="1" applyFill="1" applyBorder="1" applyAlignment="1">
      <alignment horizontal="left"/>
    </xf>
    <xf numFmtId="0" fontId="15" fillId="3" borderId="38" xfId="0" applyFont="1" applyFill="1" applyBorder="1" applyAlignment="1">
      <alignment horizontal="left"/>
    </xf>
    <xf numFmtId="14" fontId="16" fillId="3" borderId="2" xfId="0" applyNumberFormat="1" applyFont="1" applyFill="1" applyBorder="1" applyAlignment="1">
      <alignment horizontal="right" vertical="top" shrinkToFit="1"/>
    </xf>
    <xf numFmtId="10" fontId="11" fillId="3" borderId="35" xfId="0" applyNumberFormat="1" applyFont="1" applyFill="1" applyBorder="1" applyAlignment="1">
      <alignment horizontal="right" vertical="top"/>
    </xf>
    <xf numFmtId="2" fontId="6" fillId="3" borderId="28" xfId="0" applyNumberFormat="1" applyFont="1" applyFill="1" applyBorder="1" applyAlignment="1">
      <alignment horizontal="center" vertical="top" shrinkToFit="1"/>
    </xf>
    <xf numFmtId="2" fontId="7" fillId="4" borderId="28" xfId="0" applyNumberFormat="1" applyFont="1" applyFill="1" applyBorder="1" applyAlignment="1">
      <alignment horizontal="center" vertical="top" shrinkToFit="1"/>
    </xf>
    <xf numFmtId="0" fontId="3" fillId="0" borderId="0" xfId="0" applyFont="1"/>
    <xf numFmtId="0" fontId="4" fillId="0" borderId="0" xfId="0" applyFont="1" applyAlignment="1">
      <alignment vertical="top"/>
    </xf>
    <xf numFmtId="0" fontId="2" fillId="0" borderId="0" xfId="0" applyFont="1" applyAlignment="1">
      <alignment horizontal="left" vertical="top"/>
    </xf>
    <xf numFmtId="164" fontId="11" fillId="3" borderId="5" xfId="0" applyNumberFormat="1" applyFont="1" applyFill="1" applyBorder="1" applyAlignment="1">
      <alignment horizontal="right" vertical="center" shrinkToFit="1"/>
    </xf>
    <xf numFmtId="164" fontId="12" fillId="4" borderId="6" xfId="0" applyNumberFormat="1" applyFont="1" applyFill="1" applyBorder="1" applyAlignment="1">
      <alignment horizontal="right" vertical="center" shrinkToFit="1"/>
    </xf>
    <xf numFmtId="0" fontId="9" fillId="0" borderId="0" xfId="0" applyFont="1"/>
    <xf numFmtId="164" fontId="12" fillId="4" borderId="21" xfId="0" applyNumberFormat="1" applyFont="1" applyFill="1" applyBorder="1" applyAlignment="1">
      <alignment horizontal="right" vertical="top" shrinkToFit="1"/>
    </xf>
    <xf numFmtId="164" fontId="11" fillId="3" borderId="31" xfId="0" applyNumberFormat="1" applyFont="1" applyFill="1" applyBorder="1" applyAlignment="1">
      <alignment horizontal="right" vertical="top" shrinkToFit="1"/>
    </xf>
    <xf numFmtId="164" fontId="12" fillId="4" borderId="32" xfId="0" applyNumberFormat="1" applyFont="1" applyFill="1" applyBorder="1" applyAlignment="1">
      <alignment horizontal="right" vertical="top" shrinkToFit="1"/>
    </xf>
    <xf numFmtId="0" fontId="11" fillId="0" borderId="39" xfId="0" applyFont="1" applyBorder="1" applyAlignment="1">
      <alignment horizontal="left" vertical="top"/>
    </xf>
    <xf numFmtId="164" fontId="11" fillId="3" borderId="40" xfId="0" applyNumberFormat="1" applyFont="1" applyFill="1" applyBorder="1" applyAlignment="1">
      <alignment horizontal="right" vertical="top" shrinkToFit="1"/>
    </xf>
    <xf numFmtId="164" fontId="12" fillId="4" borderId="23" xfId="0" applyNumberFormat="1" applyFont="1" applyFill="1" applyBorder="1" applyAlignment="1">
      <alignment horizontal="right" vertical="top" shrinkToFit="1"/>
    </xf>
    <xf numFmtId="164" fontId="11" fillId="3" borderId="4" xfId="0" applyNumberFormat="1" applyFont="1" applyFill="1" applyBorder="1" applyAlignment="1">
      <alignment vertical="top" shrinkToFit="1"/>
    </xf>
    <xf numFmtId="164" fontId="11" fillId="3" borderId="7" xfId="0" applyNumberFormat="1" applyFont="1" applyFill="1" applyBorder="1" applyAlignment="1">
      <alignment vertical="top" shrinkToFit="1"/>
    </xf>
    <xf numFmtId="4" fontId="11" fillId="3" borderId="13" xfId="0" applyNumberFormat="1" applyFont="1" applyFill="1" applyBorder="1" applyAlignment="1">
      <alignment vertical="top"/>
    </xf>
    <xf numFmtId="4" fontId="12" fillId="4" borderId="6" xfId="0" applyNumberFormat="1" applyFont="1" applyFill="1" applyBorder="1" applyAlignment="1">
      <alignment horizontal="right" vertical="top"/>
    </xf>
    <xf numFmtId="165" fontId="11" fillId="3" borderId="13" xfId="0" applyNumberFormat="1" applyFont="1" applyFill="1" applyBorder="1" applyAlignment="1">
      <alignment vertical="top" shrinkToFit="1"/>
    </xf>
    <xf numFmtId="165" fontId="12" fillId="4" borderId="6" xfId="0" applyNumberFormat="1" applyFont="1" applyFill="1" applyBorder="1" applyAlignment="1">
      <alignment horizontal="right" vertical="top" shrinkToFit="1"/>
    </xf>
    <xf numFmtId="164" fontId="11" fillId="3" borderId="13" xfId="0" applyNumberFormat="1" applyFont="1" applyFill="1" applyBorder="1" applyAlignment="1">
      <alignment vertical="top" shrinkToFit="1"/>
    </xf>
    <xf numFmtId="165" fontId="11" fillId="3" borderId="24" xfId="0" applyNumberFormat="1" applyFont="1" applyFill="1" applyBorder="1" applyAlignment="1">
      <alignment vertical="top" shrinkToFit="1"/>
    </xf>
    <xf numFmtId="165" fontId="12" fillId="4" borderId="11" xfId="0" applyNumberFormat="1" applyFont="1" applyFill="1" applyBorder="1" applyAlignment="1">
      <alignment horizontal="right" vertical="top" shrinkToFit="1"/>
    </xf>
    <xf numFmtId="165" fontId="11" fillId="3" borderId="1" xfId="0" applyNumberFormat="1" applyFont="1" applyFill="1" applyBorder="1" applyAlignment="1">
      <alignment vertical="top" shrinkToFit="1"/>
    </xf>
    <xf numFmtId="0" fontId="17" fillId="0" borderId="12" xfId="0" applyFont="1" applyBorder="1" applyAlignment="1">
      <alignment horizontal="left"/>
    </xf>
    <xf numFmtId="0" fontId="18" fillId="0" borderId="25" xfId="0" applyFont="1" applyBorder="1" applyAlignment="1">
      <alignment horizontal="left" vertical="top"/>
    </xf>
    <xf numFmtId="0" fontId="19" fillId="0" borderId="25" xfId="0" applyFont="1" applyBorder="1" applyAlignment="1">
      <alignment vertical="top"/>
    </xf>
    <xf numFmtId="0" fontId="19" fillId="0" borderId="0" xfId="0" applyFont="1" applyAlignment="1">
      <alignment horizontal="left" vertical="top"/>
    </xf>
    <xf numFmtId="0" fontId="19" fillId="0" borderId="25" xfId="0" applyFont="1" applyBorder="1" applyAlignment="1">
      <alignment horizontal="left" vertical="top"/>
    </xf>
    <xf numFmtId="0" fontId="20" fillId="0" borderId="12" xfId="0" applyFont="1" applyBorder="1" applyAlignment="1">
      <alignment horizontal="left" wrapText="1"/>
    </xf>
    <xf numFmtId="0" fontId="19" fillId="0" borderId="25" xfId="0" applyFont="1" applyBorder="1"/>
    <xf numFmtId="167" fontId="11" fillId="0" borderId="0" xfId="0" applyNumberFormat="1" applyFont="1" applyAlignment="1">
      <alignment horizontal="center" vertical="top" shrinkToFit="1"/>
    </xf>
    <xf numFmtId="164" fontId="22" fillId="2" borderId="6" xfId="0" applyNumberFormat="1" applyFont="1" applyFill="1" applyBorder="1" applyAlignment="1">
      <alignment horizontal="right" vertical="top" shrinkToFit="1"/>
    </xf>
    <xf numFmtId="0" fontId="11" fillId="0" borderId="4" xfId="0" applyFont="1" applyBorder="1" applyAlignment="1">
      <alignment vertical="top"/>
    </xf>
    <xf numFmtId="164" fontId="11" fillId="3" borderId="4" xfId="0" applyNumberFormat="1" applyFont="1" applyFill="1" applyBorder="1" applyAlignment="1">
      <alignment horizontal="right" vertical="top" shrinkToFit="1"/>
    </xf>
    <xf numFmtId="0" fontId="11" fillId="0" borderId="7" xfId="0" applyFont="1" applyBorder="1" applyAlignment="1">
      <alignment vertical="top"/>
    </xf>
    <xf numFmtId="165" fontId="11" fillId="3" borderId="7" xfId="0" applyNumberFormat="1" applyFont="1" applyFill="1" applyBorder="1" applyAlignment="1">
      <alignment horizontal="right" vertical="top" shrinkToFit="1"/>
    </xf>
    <xf numFmtId="0" fontId="15" fillId="0" borderId="29" xfId="0" applyFont="1" applyBorder="1" applyAlignment="1">
      <alignment vertical="top"/>
    </xf>
    <xf numFmtId="165" fontId="11" fillId="3" borderId="29" xfId="0" applyNumberFormat="1" applyFont="1" applyFill="1" applyBorder="1" applyAlignment="1">
      <alignment horizontal="right" vertical="top" shrinkToFit="1"/>
    </xf>
    <xf numFmtId="0" fontId="15" fillId="3" borderId="4" xfId="0" applyFont="1" applyFill="1" applyBorder="1" applyAlignment="1">
      <alignment horizontal="left"/>
    </xf>
    <xf numFmtId="165" fontId="11" fillId="3" borderId="4" xfId="0" applyNumberFormat="1" applyFont="1" applyFill="1" applyBorder="1" applyAlignment="1">
      <alignment horizontal="right" vertical="top" shrinkToFit="1"/>
    </xf>
    <xf numFmtId="164" fontId="11" fillId="3" borderId="7" xfId="0" applyNumberFormat="1" applyFont="1" applyFill="1" applyBorder="1" applyAlignment="1">
      <alignment horizontal="right" vertical="top" shrinkToFit="1"/>
    </xf>
    <xf numFmtId="0" fontId="15" fillId="0" borderId="13" xfId="0" applyFont="1" applyBorder="1" applyAlignment="1">
      <alignment vertical="center"/>
    </xf>
    <xf numFmtId="165" fontId="11" fillId="3" borderId="13" xfId="0" applyNumberFormat="1" applyFont="1" applyFill="1" applyBorder="1" applyAlignment="1">
      <alignment horizontal="right" vertical="top" shrinkToFit="1"/>
    </xf>
    <xf numFmtId="165" fontId="11" fillId="3" borderId="24" xfId="0" applyNumberFormat="1" applyFont="1" applyFill="1" applyBorder="1" applyAlignment="1">
      <alignment horizontal="right" vertical="top" shrinkToFit="1"/>
    </xf>
    <xf numFmtId="0" fontId="15" fillId="3" borderId="1" xfId="0" applyFont="1" applyFill="1" applyBorder="1" applyAlignment="1">
      <alignment horizontal="left" vertical="center"/>
    </xf>
    <xf numFmtId="164" fontId="22" fillId="2" borderId="18" xfId="0" applyNumberFormat="1" applyFont="1" applyFill="1" applyBorder="1" applyAlignment="1">
      <alignment horizontal="right" vertical="top" shrinkToFit="1"/>
    </xf>
    <xf numFmtId="0" fontId="23" fillId="0" borderId="1" xfId="0" applyFont="1" applyBorder="1" applyAlignment="1">
      <alignment horizontal="left" vertical="top"/>
    </xf>
    <xf numFmtId="0" fontId="23" fillId="0" borderId="4" xfId="0" applyFont="1" applyBorder="1" applyAlignment="1">
      <alignment vertical="top"/>
    </xf>
    <xf numFmtId="0" fontId="23" fillId="0" borderId="9" xfId="0" applyFont="1" applyBorder="1" applyAlignment="1">
      <alignment vertical="top"/>
    </xf>
    <xf numFmtId="0" fontId="23" fillId="0" borderId="1" xfId="0" applyFont="1" applyBorder="1" applyAlignment="1">
      <alignment vertical="top"/>
    </xf>
    <xf numFmtId="0" fontId="23" fillId="0" borderId="0" xfId="0" applyFont="1" applyAlignment="1">
      <alignment vertical="top"/>
    </xf>
    <xf numFmtId="165" fontId="11" fillId="3" borderId="33" xfId="0" applyNumberFormat="1" applyFont="1" applyFill="1" applyBorder="1" applyAlignment="1">
      <alignment horizontal="right" vertical="top" shrinkToFit="1"/>
    </xf>
    <xf numFmtId="0" fontId="8" fillId="0" borderId="39" xfId="0" applyFont="1" applyBorder="1" applyAlignment="1">
      <alignment vertical="center"/>
    </xf>
    <xf numFmtId="165" fontId="11" fillId="3" borderId="39" xfId="0" applyNumberFormat="1" applyFont="1" applyFill="1" applyBorder="1" applyAlignment="1">
      <alignment horizontal="right" vertical="top" shrinkToFit="1"/>
    </xf>
    <xf numFmtId="0" fontId="23" fillId="0" borderId="1" xfId="0" applyFont="1" applyBorder="1" applyAlignment="1">
      <alignment vertical="center"/>
    </xf>
    <xf numFmtId="0" fontId="8" fillId="3" borderId="1" xfId="0" applyFont="1" applyFill="1" applyBorder="1" applyAlignment="1">
      <alignment horizontal="left" vertical="center"/>
    </xf>
    <xf numFmtId="0" fontId="19" fillId="0" borderId="25" xfId="0" applyFont="1" applyBorder="1" applyAlignment="1">
      <alignment horizontal="center" vertical="top"/>
    </xf>
    <xf numFmtId="1" fontId="11" fillId="3" borderId="6" xfId="0" applyNumberFormat="1" applyFont="1" applyFill="1" applyBorder="1" applyAlignment="1">
      <alignment horizontal="center" vertical="top" shrinkToFit="1"/>
    </xf>
    <xf numFmtId="1" fontId="11" fillId="3" borderId="43" xfId="0" applyNumberFormat="1" applyFont="1" applyFill="1" applyBorder="1" applyAlignment="1">
      <alignment horizontal="center" vertical="top" shrinkToFit="1"/>
    </xf>
    <xf numFmtId="0" fontId="11" fillId="3" borderId="5" xfId="0" applyFont="1" applyFill="1" applyBorder="1" applyAlignment="1">
      <alignment horizontal="left" vertical="top"/>
    </xf>
    <xf numFmtId="0" fontId="11" fillId="3" borderId="35" xfId="0" applyFont="1" applyFill="1" applyBorder="1" applyAlignment="1">
      <alignment horizontal="left" vertical="top"/>
    </xf>
    <xf numFmtId="0" fontId="11" fillId="3" borderId="41" xfId="0" applyFont="1" applyFill="1" applyBorder="1" applyAlignment="1">
      <alignment horizontal="left" vertical="top"/>
    </xf>
    <xf numFmtId="0" fontId="11" fillId="3" borderId="42" xfId="0" applyFont="1" applyFill="1" applyBorder="1" applyAlignment="1">
      <alignment horizontal="left" vertical="top"/>
    </xf>
    <xf numFmtId="0" fontId="11" fillId="3" borderId="19" xfId="0" applyFont="1" applyFill="1" applyBorder="1" applyAlignment="1">
      <alignment horizontal="left" vertical="top"/>
    </xf>
    <xf numFmtId="0" fontId="11" fillId="3" borderId="44" xfId="0" applyFont="1" applyFill="1" applyBorder="1" applyAlignment="1">
      <alignment horizontal="left" vertical="top"/>
    </xf>
    <xf numFmtId="1" fontId="11" fillId="3" borderId="18" xfId="0" applyNumberFormat="1" applyFont="1" applyFill="1" applyBorder="1" applyAlignment="1">
      <alignment horizontal="center" vertical="top" shrinkToFit="1"/>
    </xf>
    <xf numFmtId="0" fontId="11" fillId="0" borderId="25" xfId="0" applyFont="1" applyBorder="1" applyAlignment="1">
      <alignment vertical="top"/>
    </xf>
    <xf numFmtId="166" fontId="11" fillId="3" borderId="18" xfId="1" applyNumberFormat="1" applyFont="1" applyFill="1" applyBorder="1" applyAlignment="1">
      <alignment horizontal="center" vertical="top" shrinkToFit="1"/>
    </xf>
    <xf numFmtId="166" fontId="11" fillId="3" borderId="6" xfId="1" applyNumberFormat="1" applyFont="1" applyFill="1" applyBorder="1" applyAlignment="1">
      <alignment horizontal="center" vertical="top" shrinkToFit="1"/>
    </xf>
    <xf numFmtId="166" fontId="11" fillId="3" borderId="43" xfId="1" applyNumberFormat="1" applyFont="1" applyFill="1" applyBorder="1" applyAlignment="1">
      <alignment horizontal="center" vertical="top" shrinkToFit="1"/>
    </xf>
    <xf numFmtId="166" fontId="0" fillId="0" borderId="0" xfId="0" applyNumberFormat="1"/>
    <xf numFmtId="0" fontId="11" fillId="3" borderId="0" xfId="0" applyFont="1" applyFill="1" applyAlignment="1">
      <alignment horizontal="left" vertical="top"/>
    </xf>
    <xf numFmtId="10" fontId="0" fillId="0" borderId="0" xfId="0" applyNumberFormat="1"/>
    <xf numFmtId="2" fontId="0" fillId="0" borderId="0" xfId="0" applyNumberFormat="1"/>
    <xf numFmtId="0" fontId="24" fillId="0" borderId="0" xfId="0" applyFont="1"/>
    <xf numFmtId="0" fontId="11" fillId="0" borderId="28" xfId="0" applyFont="1" applyBorder="1" applyAlignment="1">
      <alignment horizontal="center" vertical="top"/>
    </xf>
    <xf numFmtId="0" fontId="25" fillId="0" borderId="0" xfId="0" applyFont="1" applyAlignment="1">
      <alignment horizontal="center"/>
    </xf>
    <xf numFmtId="0" fontId="25" fillId="0" borderId="0" xfId="0" applyFont="1"/>
    <xf numFmtId="0" fontId="26" fillId="0" borderId="0" xfId="0" applyFont="1"/>
    <xf numFmtId="0" fontId="27" fillId="0" borderId="0" xfId="0" applyFont="1"/>
    <xf numFmtId="164" fontId="25" fillId="0" borderId="0" xfId="0" applyNumberFormat="1" applyFont="1" applyAlignment="1">
      <alignment horizontal="center"/>
    </xf>
    <xf numFmtId="0" fontId="21" fillId="0" borderId="0" xfId="0" applyFont="1"/>
    <xf numFmtId="44" fontId="25" fillId="0" borderId="0" xfId="2" applyFont="1"/>
    <xf numFmtId="2" fontId="25" fillId="0" borderId="0" xfId="2" applyNumberFormat="1" applyFont="1"/>
    <xf numFmtId="166" fontId="23" fillId="5" borderId="28" xfId="0" applyNumberFormat="1" applyFont="1" applyFill="1" applyBorder="1" applyAlignment="1">
      <alignment horizontal="center" vertical="top"/>
    </xf>
    <xf numFmtId="10" fontId="23" fillId="5" borderId="28" xfId="0" applyNumberFormat="1" applyFont="1" applyFill="1" applyBorder="1" applyAlignment="1">
      <alignment horizontal="center" vertical="top"/>
    </xf>
    <xf numFmtId="0" fontId="19" fillId="0" borderId="45" xfId="0" applyFont="1" applyBorder="1" applyAlignment="1">
      <alignment horizontal="left" vertical="top"/>
    </xf>
    <xf numFmtId="10" fontId="0" fillId="0" borderId="0" xfId="1" applyNumberFormat="1" applyFont="1"/>
    <xf numFmtId="0" fontId="28" fillId="0" borderId="0" xfId="0" applyFont="1"/>
    <xf numFmtId="168" fontId="0" fillId="0" borderId="0" xfId="0" applyNumberFormat="1"/>
    <xf numFmtId="0" fontId="0" fillId="8" borderId="0" xfId="0" applyFill="1"/>
    <xf numFmtId="0" fontId="27" fillId="8" borderId="0" xfId="0" applyFont="1" applyFill="1"/>
    <xf numFmtId="0" fontId="0" fillId="0" borderId="0" xfId="0" applyAlignment="1">
      <alignment vertical="center"/>
    </xf>
    <xf numFmtId="0" fontId="23" fillId="6" borderId="45" xfId="0" applyFont="1" applyFill="1" applyBorder="1" applyAlignment="1">
      <alignment horizontal="left" vertical="top"/>
    </xf>
    <xf numFmtId="164" fontId="11" fillId="0" borderId="28" xfId="0" applyNumberFormat="1" applyFont="1" applyBorder="1" applyAlignment="1">
      <alignment horizontal="center" vertical="top"/>
    </xf>
    <xf numFmtId="44" fontId="25" fillId="0" borderId="0" xfId="0" applyNumberFormat="1" applyFont="1"/>
    <xf numFmtId="0" fontId="25" fillId="0" borderId="0" xfId="0" applyFont="1" applyAlignment="1">
      <alignment vertical="center"/>
    </xf>
    <xf numFmtId="0" fontId="30" fillId="0" borderId="0" xfId="0" applyFont="1"/>
    <xf numFmtId="0" fontId="31" fillId="0" borderId="0" xfId="0" applyFont="1"/>
    <xf numFmtId="0" fontId="31" fillId="0" borderId="0" xfId="0" applyFont="1" applyAlignment="1">
      <alignment vertical="center" wrapText="1"/>
    </xf>
    <xf numFmtId="165" fontId="11" fillId="0" borderId="46" xfId="0" applyNumberFormat="1" applyFont="1" applyBorder="1" applyAlignment="1">
      <alignment horizontal="center" vertical="top" shrinkToFit="1"/>
    </xf>
    <xf numFmtId="165" fontId="11" fillId="0" borderId="47" xfId="0" applyNumberFormat="1" applyFont="1" applyBorder="1" applyAlignment="1">
      <alignment horizontal="center" vertical="top" shrinkToFit="1"/>
    </xf>
    <xf numFmtId="44" fontId="21" fillId="0" borderId="0" xfId="2" applyFont="1"/>
    <xf numFmtId="164" fontId="25" fillId="0" borderId="0" xfId="0" applyNumberFormat="1" applyFont="1"/>
    <xf numFmtId="0" fontId="18" fillId="0" borderId="0" xfId="0" applyFont="1" applyAlignment="1">
      <alignment horizontal="left" vertical="top"/>
    </xf>
    <xf numFmtId="0" fontId="25" fillId="8" borderId="0" xfId="0" applyFont="1" applyFill="1" applyAlignment="1">
      <alignment horizontal="center"/>
    </xf>
    <xf numFmtId="0" fontId="11" fillId="0" borderId="4" xfId="0" applyFont="1" applyBorder="1" applyAlignment="1">
      <alignment horizontal="left" vertical="top" wrapText="1"/>
    </xf>
    <xf numFmtId="0" fontId="11" fillId="0" borderId="30" xfId="0" applyFont="1" applyBorder="1" applyAlignment="1">
      <alignment horizontal="left" vertical="top" wrapText="1"/>
    </xf>
    <xf numFmtId="0" fontId="11" fillId="0" borderId="0" xfId="0" applyFont="1" applyAlignment="1">
      <alignment horizontal="left" vertical="top" wrapText="1"/>
    </xf>
    <xf numFmtId="0" fontId="11" fillId="0" borderId="39" xfId="0" applyFont="1" applyBorder="1" applyAlignment="1">
      <alignment horizontal="left" vertical="top" wrapText="1"/>
    </xf>
    <xf numFmtId="0" fontId="9" fillId="0" borderId="0" xfId="0" applyFont="1" applyAlignment="1">
      <alignment horizontal="left" vertical="top" wrapText="1"/>
    </xf>
    <xf numFmtId="0" fontId="29" fillId="0" borderId="0" xfId="0" applyFont="1"/>
    <xf numFmtId="0" fontId="21" fillId="7" borderId="0" xfId="0" applyFont="1" applyFill="1"/>
    <xf numFmtId="9" fontId="21" fillId="0" borderId="0" xfId="0" applyNumberFormat="1" applyFont="1"/>
    <xf numFmtId="8" fontId="29" fillId="0" borderId="0" xfId="0" applyNumberFormat="1" applyFont="1"/>
    <xf numFmtId="0" fontId="32" fillId="0" borderId="0" xfId="0" applyFont="1" applyAlignment="1">
      <alignment vertical="top"/>
    </xf>
    <xf numFmtId="2" fontId="0" fillId="0" borderId="0" xfId="1" applyNumberFormat="1" applyFont="1" applyBorder="1" applyAlignment="1">
      <alignment horizontal="center"/>
    </xf>
    <xf numFmtId="166" fontId="0" fillId="0" borderId="0" xfId="1" applyNumberFormat="1" applyFont="1" applyFill="1" applyBorder="1" applyAlignment="1">
      <alignment horizontal="center"/>
    </xf>
    <xf numFmtId="2" fontId="0" fillId="0" borderId="0" xfId="1" applyNumberFormat="1" applyFont="1" applyFill="1" applyBorder="1" applyAlignment="1">
      <alignment horizontal="center"/>
    </xf>
    <xf numFmtId="0" fontId="25" fillId="0" borderId="0" xfId="0" applyFont="1" applyAlignment="1">
      <alignment vertical="top"/>
    </xf>
    <xf numFmtId="164" fontId="25" fillId="0" borderId="0" xfId="1" applyNumberFormat="1" applyFont="1" applyBorder="1" applyAlignment="1">
      <alignment horizontal="center"/>
    </xf>
    <xf numFmtId="0" fontId="25" fillId="0" borderId="55" xfId="0" applyFont="1" applyBorder="1" applyAlignment="1">
      <alignment vertical="top"/>
    </xf>
    <xf numFmtId="169" fontId="25" fillId="0" borderId="54" xfId="0" applyNumberFormat="1" applyFont="1" applyBorder="1" applyAlignment="1">
      <alignment horizontal="center" vertical="center"/>
    </xf>
    <xf numFmtId="169" fontId="25" fillId="0" borderId="50" xfId="0" applyNumberFormat="1" applyFont="1" applyBorder="1" applyAlignment="1">
      <alignment horizontal="center" vertical="center"/>
    </xf>
    <xf numFmtId="0" fontId="21" fillId="0" borderId="57" xfId="0" applyFont="1" applyBorder="1" applyAlignment="1">
      <alignment vertical="center"/>
    </xf>
    <xf numFmtId="0" fontId="21" fillId="0" borderId="58" xfId="0" applyFont="1" applyBorder="1" applyAlignment="1">
      <alignment vertical="center"/>
    </xf>
    <xf numFmtId="169" fontId="25" fillId="0" borderId="63" xfId="0" applyNumberFormat="1" applyFont="1" applyBorder="1" applyAlignment="1">
      <alignment horizontal="center" vertical="center"/>
    </xf>
    <xf numFmtId="169" fontId="25" fillId="0" borderId="64" xfId="0" applyNumberFormat="1" applyFont="1" applyBorder="1" applyAlignment="1">
      <alignment horizontal="center" vertical="center"/>
    </xf>
    <xf numFmtId="169" fontId="21" fillId="0" borderId="59" xfId="0" applyNumberFormat="1" applyFont="1" applyBorder="1" applyAlignment="1">
      <alignment horizontal="center" vertical="center"/>
    </xf>
    <xf numFmtId="169" fontId="21" fillId="0" borderId="60" xfId="0" applyNumberFormat="1" applyFont="1" applyBorder="1" applyAlignment="1">
      <alignment horizontal="center" vertical="center"/>
    </xf>
    <xf numFmtId="169" fontId="21" fillId="0" borderId="61" xfId="0" applyNumberFormat="1" applyFont="1" applyBorder="1" applyAlignment="1">
      <alignment horizontal="center" vertical="center"/>
    </xf>
    <xf numFmtId="169" fontId="21" fillId="0" borderId="62" xfId="0" applyNumberFormat="1" applyFont="1" applyBorder="1" applyAlignment="1">
      <alignment horizontal="center" vertical="center"/>
    </xf>
    <xf numFmtId="0" fontId="25" fillId="6" borderId="45" xfId="0" applyFont="1" applyFill="1" applyBorder="1" applyAlignment="1">
      <alignment vertical="center"/>
    </xf>
    <xf numFmtId="0" fontId="25" fillId="6" borderId="56" xfId="0" applyFont="1" applyFill="1" applyBorder="1" applyAlignment="1">
      <alignment horizontal="center" vertical="center" wrapText="1"/>
    </xf>
    <xf numFmtId="166" fontId="25" fillId="0" borderId="0" xfId="1" applyNumberFormat="1" applyFont="1" applyFill="1" applyBorder="1" applyAlignment="1">
      <alignment horizontal="center"/>
    </xf>
    <xf numFmtId="2" fontId="25" fillId="0" borderId="0" xfId="1" applyNumberFormat="1" applyFont="1" applyFill="1" applyBorder="1" applyAlignment="1">
      <alignment horizontal="center"/>
    </xf>
    <xf numFmtId="166" fontId="21" fillId="0" borderId="56" xfId="1" applyNumberFormat="1" applyFont="1" applyFill="1" applyBorder="1" applyAlignment="1">
      <alignment horizontal="center"/>
    </xf>
    <xf numFmtId="2" fontId="21" fillId="0" borderId="56" xfId="1" applyNumberFormat="1" applyFont="1" applyFill="1" applyBorder="1" applyAlignment="1">
      <alignment horizontal="center"/>
    </xf>
    <xf numFmtId="166" fontId="25" fillId="0" borderId="56" xfId="1" applyNumberFormat="1" applyFont="1" applyFill="1" applyBorder="1" applyAlignment="1">
      <alignment horizontal="left"/>
    </xf>
    <xf numFmtId="2" fontId="25" fillId="0" borderId="56" xfId="1" applyNumberFormat="1" applyFont="1" applyFill="1" applyBorder="1" applyAlignment="1">
      <alignment horizontal="center"/>
    </xf>
    <xf numFmtId="164" fontId="25" fillId="0" borderId="0" xfId="1" applyNumberFormat="1" applyFont="1" applyFill="1" applyBorder="1" applyAlignment="1">
      <alignment horizontal="center"/>
    </xf>
    <xf numFmtId="164" fontId="25" fillId="0" borderId="56" xfId="0" applyNumberFormat="1" applyFont="1" applyBorder="1" applyAlignment="1">
      <alignment horizontal="center"/>
    </xf>
    <xf numFmtId="44" fontId="25" fillId="0" borderId="56" xfId="2" applyFont="1" applyBorder="1"/>
    <xf numFmtId="44" fontId="34" fillId="0" borderId="56" xfId="2" applyFont="1" applyBorder="1"/>
    <xf numFmtId="44" fontId="29" fillId="0" borderId="56" xfId="2" applyFont="1" applyBorder="1"/>
    <xf numFmtId="44" fontId="35" fillId="0" borderId="56" xfId="2" applyFont="1" applyBorder="1"/>
    <xf numFmtId="9" fontId="25" fillId="0" borderId="0" xfId="1" applyFont="1"/>
    <xf numFmtId="166" fontId="25" fillId="3" borderId="43" xfId="1" applyNumberFormat="1" applyFont="1" applyFill="1" applyBorder="1" applyAlignment="1">
      <alignment horizontal="center" vertical="top" shrinkToFit="1"/>
    </xf>
    <xf numFmtId="0" fontId="25" fillId="6" borderId="70" xfId="0" applyFont="1" applyFill="1" applyBorder="1" applyAlignment="1">
      <alignment horizontal="left" vertical="center"/>
    </xf>
    <xf numFmtId="0" fontId="25" fillId="6" borderId="70" xfId="0" applyFont="1" applyFill="1" applyBorder="1" applyAlignment="1">
      <alignment horizontal="center" vertical="center" wrapText="1"/>
    </xf>
    <xf numFmtId="0" fontId="21" fillId="0" borderId="71" xfId="0" applyFont="1" applyBorder="1" applyAlignment="1">
      <alignment vertical="center"/>
    </xf>
    <xf numFmtId="164" fontId="21" fillId="0" borderId="66" xfId="0" applyNumberFormat="1" applyFont="1" applyBorder="1" applyAlignment="1">
      <alignment horizontal="center" vertical="center"/>
    </xf>
    <xf numFmtId="164" fontId="21" fillId="0" borderId="67" xfId="0" applyNumberFormat="1" applyFont="1" applyBorder="1" applyAlignment="1">
      <alignment horizontal="center" vertical="center"/>
    </xf>
    <xf numFmtId="0" fontId="21" fillId="0" borderId="68" xfId="0" applyFont="1" applyBorder="1" applyAlignment="1">
      <alignment vertical="center"/>
    </xf>
    <xf numFmtId="164" fontId="21" fillId="0" borderId="72" xfId="0" applyNumberFormat="1" applyFont="1" applyBorder="1" applyAlignment="1">
      <alignment horizontal="center" vertical="center"/>
    </xf>
    <xf numFmtId="164" fontId="21" fillId="0" borderId="69" xfId="0" applyNumberFormat="1" applyFont="1" applyBorder="1" applyAlignment="1">
      <alignment horizontal="center" vertical="center"/>
    </xf>
    <xf numFmtId="0" fontId="25" fillId="0" borderId="45" xfId="0" applyFont="1" applyBorder="1" applyAlignment="1">
      <alignment vertical="top"/>
    </xf>
    <xf numFmtId="0" fontId="25" fillId="0" borderId="48" xfId="0" applyFont="1" applyBorder="1" applyAlignment="1">
      <alignment vertical="top"/>
    </xf>
    <xf numFmtId="169" fontId="25" fillId="0" borderId="53" xfId="0" applyNumberFormat="1" applyFont="1" applyBorder="1" applyAlignment="1">
      <alignment horizontal="center" vertical="center"/>
    </xf>
    <xf numFmtId="169" fontId="25" fillId="0" borderId="70" xfId="0" applyNumberFormat="1" applyFont="1" applyBorder="1" applyAlignment="1">
      <alignment horizontal="center" vertical="center"/>
    </xf>
    <xf numFmtId="2" fontId="25" fillId="0" borderId="0" xfId="2" applyNumberFormat="1" applyFont="1" applyBorder="1"/>
    <xf numFmtId="0" fontId="25" fillId="0" borderId="53" xfId="0" applyFont="1" applyBorder="1"/>
    <xf numFmtId="0" fontId="25" fillId="0" borderId="47" xfId="0" applyFont="1" applyBorder="1"/>
    <xf numFmtId="164" fontId="25" fillId="0" borderId="55" xfId="0" applyNumberFormat="1" applyFont="1" applyBorder="1"/>
    <xf numFmtId="2" fontId="25" fillId="0" borderId="53" xfId="0" applyNumberFormat="1" applyFont="1" applyBorder="1"/>
    <xf numFmtId="2" fontId="25" fillId="0" borderId="47" xfId="0" applyNumberFormat="1" applyFont="1" applyBorder="1"/>
    <xf numFmtId="2" fontId="25" fillId="0" borderId="75" xfId="0" applyNumberFormat="1" applyFont="1" applyBorder="1"/>
    <xf numFmtId="0" fontId="21" fillId="0" borderId="56" xfId="0" applyFont="1" applyBorder="1"/>
    <xf numFmtId="2" fontId="21" fillId="0" borderId="56" xfId="0" applyNumberFormat="1" applyFont="1" applyBorder="1"/>
    <xf numFmtId="2" fontId="25" fillId="0" borderId="0" xfId="0" applyNumberFormat="1" applyFont="1"/>
    <xf numFmtId="0" fontId="21" fillId="6" borderId="73" xfId="0" applyFont="1" applyFill="1" applyBorder="1"/>
    <xf numFmtId="10" fontId="25" fillId="6" borderId="74" xfId="0" applyNumberFormat="1" applyFont="1" applyFill="1" applyBorder="1"/>
    <xf numFmtId="0" fontId="25" fillId="0" borderId="49" xfId="0" applyFont="1" applyBorder="1"/>
    <xf numFmtId="0" fontId="25" fillId="0" borderId="75" xfId="0" applyFont="1" applyBorder="1"/>
    <xf numFmtId="2" fontId="25" fillId="0" borderId="51" xfId="0" applyNumberFormat="1" applyFont="1" applyBorder="1"/>
    <xf numFmtId="0" fontId="25" fillId="0" borderId="45" xfId="0" applyFont="1" applyBorder="1"/>
    <xf numFmtId="2" fontId="25" fillId="0" borderId="53" xfId="2" applyNumberFormat="1" applyFont="1" applyBorder="1"/>
    <xf numFmtId="0" fontId="21" fillId="6" borderId="53" xfId="0" applyFont="1" applyFill="1" applyBorder="1"/>
    <xf numFmtId="0" fontId="36" fillId="0" borderId="0" xfId="0" applyFont="1"/>
    <xf numFmtId="0" fontId="25" fillId="0" borderId="0" xfId="0" applyFont="1" applyAlignment="1">
      <alignment horizontal="left" vertical="center" wrapText="1"/>
    </xf>
    <xf numFmtId="0" fontId="38" fillId="0" borderId="0" xfId="0" applyFont="1" applyAlignment="1">
      <alignment horizontal="center" vertical="center" wrapText="1"/>
    </xf>
    <xf numFmtId="0" fontId="25" fillId="0" borderId="56" xfId="0" applyFont="1" applyBorder="1"/>
    <xf numFmtId="0" fontId="21" fillId="7" borderId="56" xfId="0" applyFont="1" applyFill="1" applyBorder="1" applyAlignment="1">
      <alignment horizontal="center"/>
    </xf>
    <xf numFmtId="0" fontId="25" fillId="0" borderId="56" xfId="2" applyNumberFormat="1" applyFont="1" applyBorder="1"/>
    <xf numFmtId="165" fontId="25" fillId="0" borderId="0" xfId="0" applyNumberFormat="1" applyFont="1" applyAlignment="1">
      <alignment horizontal="center"/>
    </xf>
    <xf numFmtId="164" fontId="25" fillId="0" borderId="0" xfId="1" applyNumberFormat="1" applyFont="1" applyAlignment="1">
      <alignment horizontal="center"/>
    </xf>
    <xf numFmtId="166" fontId="25" fillId="0" borderId="0" xfId="1" applyNumberFormat="1" applyFont="1" applyFill="1" applyBorder="1"/>
    <xf numFmtId="0" fontId="21" fillId="0" borderId="0" xfId="0" applyFont="1" applyAlignment="1">
      <alignment vertical="center"/>
    </xf>
    <xf numFmtId="0" fontId="0" fillId="0" borderId="0" xfId="0" applyAlignment="1">
      <alignment vertical="center" wrapText="1"/>
    </xf>
    <xf numFmtId="0" fontId="36" fillId="0" borderId="0" xfId="0" applyFont="1" applyAlignment="1">
      <alignment vertical="center"/>
    </xf>
    <xf numFmtId="0" fontId="36" fillId="0" borderId="0" xfId="0" applyFont="1" applyAlignment="1">
      <alignment horizontal="center" vertical="center"/>
    </xf>
    <xf numFmtId="0" fontId="25" fillId="0" borderId="0" xfId="0" applyFont="1" applyAlignment="1">
      <alignment horizontal="left" vertical="center"/>
    </xf>
    <xf numFmtId="0" fontId="19" fillId="0" borderId="76" xfId="0" applyFont="1" applyBorder="1" applyAlignment="1">
      <alignment horizontal="left" vertical="top"/>
    </xf>
    <xf numFmtId="165" fontId="11" fillId="0" borderId="77" xfId="0" applyNumberFormat="1" applyFont="1" applyBorder="1" applyAlignment="1">
      <alignment horizontal="center" vertical="top" shrinkToFit="1"/>
    </xf>
    <xf numFmtId="165" fontId="11" fillId="0" borderId="0" xfId="0" applyNumberFormat="1" applyFont="1" applyAlignment="1">
      <alignment horizontal="center" vertical="top" shrinkToFit="1"/>
    </xf>
    <xf numFmtId="10" fontId="23" fillId="10" borderId="0" xfId="0" applyNumberFormat="1" applyFont="1" applyFill="1" applyAlignment="1">
      <alignment horizontal="center" vertical="top"/>
    </xf>
    <xf numFmtId="166" fontId="23" fillId="10" borderId="0" xfId="0" applyNumberFormat="1" applyFont="1" applyFill="1" applyAlignment="1">
      <alignment horizontal="center" vertical="top"/>
    </xf>
    <xf numFmtId="9" fontId="25" fillId="0" borderId="0" xfId="0" applyNumberFormat="1" applyFont="1" applyAlignment="1">
      <alignment horizontal="center"/>
    </xf>
    <xf numFmtId="0" fontId="19" fillId="0" borderId="78" xfId="0" applyFont="1" applyBorder="1" applyAlignment="1">
      <alignment horizontal="left" vertical="top"/>
    </xf>
    <xf numFmtId="165" fontId="11" fillId="0" borderId="79" xfId="0" applyNumberFormat="1" applyFont="1" applyBorder="1" applyAlignment="1">
      <alignment horizontal="center" vertical="top" shrinkToFit="1"/>
    </xf>
    <xf numFmtId="165" fontId="11" fillId="0" borderId="80" xfId="0" applyNumberFormat="1" applyFont="1" applyBorder="1" applyAlignment="1">
      <alignment horizontal="center" vertical="top" shrinkToFit="1"/>
    </xf>
    <xf numFmtId="0" fontId="23" fillId="10" borderId="76" xfId="0" applyFont="1" applyFill="1" applyBorder="1" applyAlignment="1">
      <alignment horizontal="left" vertical="top"/>
    </xf>
    <xf numFmtId="166" fontId="23" fillId="10" borderId="77" xfId="0" applyNumberFormat="1" applyFont="1" applyFill="1" applyBorder="1" applyAlignment="1">
      <alignment horizontal="center" vertical="top"/>
    </xf>
    <xf numFmtId="0" fontId="23" fillId="10" borderId="81" xfId="0" applyFont="1" applyFill="1" applyBorder="1" applyAlignment="1">
      <alignment horizontal="left" vertical="top"/>
    </xf>
    <xf numFmtId="10" fontId="23" fillId="10" borderId="82" xfId="0" applyNumberFormat="1" applyFont="1" applyFill="1" applyBorder="1" applyAlignment="1">
      <alignment horizontal="center" vertical="top"/>
    </xf>
    <xf numFmtId="0" fontId="19" fillId="3" borderId="78" xfId="0" applyFont="1" applyFill="1" applyBorder="1" applyAlignment="1">
      <alignment horizontal="left" vertical="top"/>
    </xf>
    <xf numFmtId="0" fontId="25" fillId="3" borderId="79" xfId="0" applyFont="1" applyFill="1" applyBorder="1" applyAlignment="1">
      <alignment horizontal="center"/>
    </xf>
    <xf numFmtId="165" fontId="11" fillId="3" borderId="79" xfId="0" applyNumberFormat="1" applyFont="1" applyFill="1" applyBorder="1" applyAlignment="1">
      <alignment horizontal="center" vertical="top" shrinkToFit="1"/>
    </xf>
    <xf numFmtId="165" fontId="11" fillId="3" borderId="80" xfId="0" applyNumberFormat="1" applyFont="1" applyFill="1" applyBorder="1" applyAlignment="1">
      <alignment horizontal="center" vertical="top" shrinkToFit="1"/>
    </xf>
    <xf numFmtId="10" fontId="23" fillId="10" borderId="83" xfId="0" applyNumberFormat="1" applyFont="1" applyFill="1" applyBorder="1" applyAlignment="1">
      <alignment horizontal="center" vertical="top"/>
    </xf>
    <xf numFmtId="0" fontId="23" fillId="10" borderId="73" xfId="0" applyFont="1" applyFill="1" applyBorder="1" applyAlignment="1">
      <alignment horizontal="left" vertical="top"/>
    </xf>
    <xf numFmtId="10" fontId="23" fillId="10" borderId="84" xfId="0" applyNumberFormat="1" applyFont="1" applyFill="1" applyBorder="1" applyAlignment="1">
      <alignment horizontal="center" vertical="top"/>
    </xf>
    <xf numFmtId="166" fontId="23" fillId="10" borderId="84" xfId="0" applyNumberFormat="1" applyFont="1" applyFill="1" applyBorder="1" applyAlignment="1">
      <alignment horizontal="center" vertical="top"/>
    </xf>
    <xf numFmtId="166" fontId="23" fillId="10" borderId="74" xfId="0" applyNumberFormat="1" applyFont="1" applyFill="1" applyBorder="1" applyAlignment="1">
      <alignment horizontal="center" vertical="top"/>
    </xf>
    <xf numFmtId="164" fontId="25" fillId="3" borderId="79" xfId="0" applyNumberFormat="1" applyFont="1" applyFill="1" applyBorder="1" applyAlignment="1">
      <alignment horizontal="center"/>
    </xf>
    <xf numFmtId="164" fontId="25" fillId="3" borderId="80" xfId="0" applyNumberFormat="1" applyFont="1" applyFill="1" applyBorder="1" applyAlignment="1">
      <alignment horizontal="center"/>
    </xf>
    <xf numFmtId="10" fontId="23" fillId="10" borderId="77" xfId="0" applyNumberFormat="1" applyFont="1" applyFill="1" applyBorder="1" applyAlignment="1">
      <alignment horizontal="center" vertical="top"/>
    </xf>
    <xf numFmtId="9" fontId="25" fillId="0" borderId="77" xfId="0" applyNumberFormat="1" applyFont="1" applyBorder="1" applyAlignment="1">
      <alignment horizontal="center"/>
    </xf>
    <xf numFmtId="164" fontId="25" fillId="0" borderId="77" xfId="0" applyNumberFormat="1" applyFont="1" applyBorder="1" applyAlignment="1">
      <alignment horizontal="center"/>
    </xf>
    <xf numFmtId="0" fontId="19" fillId="3" borderId="81" xfId="0" applyFont="1" applyFill="1" applyBorder="1" applyAlignment="1">
      <alignment horizontal="left" vertical="top"/>
    </xf>
    <xf numFmtId="164" fontId="25" fillId="3" borderId="82" xfId="0" applyNumberFormat="1" applyFont="1" applyFill="1" applyBorder="1" applyAlignment="1">
      <alignment horizontal="center"/>
    </xf>
    <xf numFmtId="164" fontId="25" fillId="3" borderId="83" xfId="0" applyNumberFormat="1" applyFont="1" applyFill="1" applyBorder="1" applyAlignment="1">
      <alignment horizontal="center"/>
    </xf>
    <xf numFmtId="0" fontId="19" fillId="0" borderId="85" xfId="0" applyFont="1" applyBorder="1" applyAlignment="1">
      <alignment horizontal="left" vertical="top"/>
    </xf>
    <xf numFmtId="2" fontId="25" fillId="0" borderId="86" xfId="0" applyNumberFormat="1" applyFont="1" applyBorder="1" applyAlignment="1">
      <alignment horizontal="center"/>
    </xf>
    <xf numFmtId="164" fontId="25" fillId="0" borderId="86" xfId="0" applyNumberFormat="1" applyFont="1" applyBorder="1" applyAlignment="1">
      <alignment horizontal="center"/>
    </xf>
    <xf numFmtId="164" fontId="25" fillId="0" borderId="87" xfId="0" applyNumberFormat="1" applyFont="1" applyBorder="1" applyAlignment="1">
      <alignment horizontal="center"/>
    </xf>
    <xf numFmtId="0" fontId="25" fillId="0" borderId="79" xfId="0" applyFont="1" applyBorder="1" applyAlignment="1">
      <alignment horizontal="center"/>
    </xf>
    <xf numFmtId="0" fontId="19" fillId="0" borderId="81" xfId="0" applyFont="1" applyBorder="1" applyAlignment="1">
      <alignment horizontal="left" vertical="top"/>
    </xf>
    <xf numFmtId="0" fontId="25" fillId="0" borderId="82" xfId="0" applyFont="1" applyBorder="1" applyAlignment="1">
      <alignment horizontal="center"/>
    </xf>
    <xf numFmtId="165" fontId="11" fillId="0" borderId="88" xfId="0" applyNumberFormat="1" applyFont="1" applyBorder="1" applyAlignment="1">
      <alignment horizontal="center" vertical="top" shrinkToFit="1"/>
    </xf>
    <xf numFmtId="165" fontId="11" fillId="0" borderId="83" xfId="0" applyNumberFormat="1" applyFont="1" applyBorder="1" applyAlignment="1">
      <alignment horizontal="center" vertical="top" shrinkToFit="1"/>
    </xf>
    <xf numFmtId="10" fontId="25" fillId="0" borderId="0" xfId="1" applyNumberFormat="1" applyFont="1"/>
    <xf numFmtId="44" fontId="21" fillId="6" borderId="53" xfId="2" applyFont="1" applyFill="1" applyBorder="1"/>
    <xf numFmtId="0" fontId="21" fillId="10" borderId="73" xfId="0" applyFont="1" applyFill="1" applyBorder="1"/>
    <xf numFmtId="10" fontId="25" fillId="10" borderId="74" xfId="1" applyNumberFormat="1" applyFont="1" applyFill="1" applyBorder="1"/>
    <xf numFmtId="0" fontId="25" fillId="0" borderId="73" xfId="0" applyFont="1" applyBorder="1"/>
    <xf numFmtId="0" fontId="25" fillId="0" borderId="89" xfId="0" applyFont="1" applyBorder="1"/>
    <xf numFmtId="9" fontId="25" fillId="0" borderId="56" xfId="0" applyNumberFormat="1" applyFont="1" applyBorder="1"/>
    <xf numFmtId="166" fontId="25" fillId="0" borderId="56" xfId="1" applyNumberFormat="1" applyFont="1" applyBorder="1"/>
    <xf numFmtId="2" fontId="25" fillId="0" borderId="56" xfId="0" applyNumberFormat="1" applyFont="1" applyBorder="1"/>
    <xf numFmtId="164" fontId="25" fillId="0" borderId="52" xfId="0" applyNumberFormat="1" applyFont="1" applyBorder="1"/>
    <xf numFmtId="0" fontId="25" fillId="0" borderId="90" xfId="0" applyFont="1" applyBorder="1"/>
    <xf numFmtId="164" fontId="25" fillId="0" borderId="56" xfId="0" applyNumberFormat="1" applyFont="1" applyBorder="1"/>
    <xf numFmtId="0" fontId="25" fillId="10" borderId="53" xfId="0" applyFont="1" applyFill="1" applyBorder="1" applyAlignment="1">
      <alignment horizontal="center"/>
    </xf>
    <xf numFmtId="0" fontId="21" fillId="10" borderId="56" xfId="0" applyFont="1" applyFill="1" applyBorder="1"/>
    <xf numFmtId="44" fontId="21" fillId="10" borderId="56" xfId="2" applyFont="1" applyFill="1" applyBorder="1"/>
    <xf numFmtId="0" fontId="41" fillId="0" borderId="0" xfId="0" applyFont="1"/>
    <xf numFmtId="44" fontId="25" fillId="0" borderId="0" xfId="2" applyFont="1" applyBorder="1"/>
    <xf numFmtId="0" fontId="25" fillId="0" borderId="0" xfId="0" applyFont="1" applyAlignment="1">
      <alignment horizontal="right"/>
    </xf>
    <xf numFmtId="0" fontId="25" fillId="0" borderId="79" xfId="0" applyFont="1" applyBorder="1"/>
    <xf numFmtId="2" fontId="25" fillId="0" borderId="79" xfId="2" applyNumberFormat="1" applyFont="1" applyBorder="1"/>
    <xf numFmtId="2" fontId="25" fillId="0" borderId="0" xfId="2" applyNumberFormat="1" applyFont="1" applyFill="1"/>
    <xf numFmtId="10" fontId="25" fillId="0" borderId="0" xfId="0" applyNumberFormat="1" applyFont="1"/>
    <xf numFmtId="10" fontId="25" fillId="0" borderId="0" xfId="0" applyNumberFormat="1" applyFont="1" applyAlignment="1">
      <alignment horizontal="center"/>
    </xf>
    <xf numFmtId="0" fontId="21" fillId="8" borderId="56" xfId="0" applyFont="1" applyFill="1" applyBorder="1"/>
    <xf numFmtId="9" fontId="25" fillId="0" borderId="0" xfId="0" applyNumberFormat="1" applyFont="1"/>
    <xf numFmtId="0" fontId="25" fillId="0" borderId="91" xfId="0" applyFont="1" applyBorder="1" applyAlignment="1">
      <alignment vertical="center"/>
    </xf>
    <xf numFmtId="2" fontId="25" fillId="0" borderId="91" xfId="0" applyNumberFormat="1" applyFont="1" applyBorder="1" applyAlignment="1">
      <alignment horizontal="center" vertical="center"/>
    </xf>
    <xf numFmtId="0" fontId="31" fillId="0" borderId="91" xfId="0" applyFont="1" applyBorder="1" applyAlignment="1">
      <alignment horizontal="center" vertical="center" wrapText="1"/>
    </xf>
    <xf numFmtId="0" fontId="25" fillId="7" borderId="91" xfId="0" applyFont="1" applyFill="1" applyBorder="1" applyAlignment="1">
      <alignment horizontal="center" vertical="center"/>
    </xf>
    <xf numFmtId="0" fontId="25" fillId="0" borderId="93" xfId="0" applyFont="1" applyBorder="1" applyAlignment="1">
      <alignment vertical="center"/>
    </xf>
    <xf numFmtId="2" fontId="25" fillId="0" borderId="93" xfId="0" applyNumberFormat="1" applyFont="1" applyBorder="1" applyAlignment="1">
      <alignment horizontal="center" vertical="center"/>
    </xf>
    <xf numFmtId="0" fontId="31" fillId="0" borderId="93" xfId="0" applyFont="1" applyBorder="1" applyAlignment="1">
      <alignment horizontal="center" vertical="center" wrapText="1"/>
    </xf>
    <xf numFmtId="0" fontId="44" fillId="0" borderId="0" xfId="0" applyFont="1"/>
    <xf numFmtId="0" fontId="25" fillId="0" borderId="92" xfId="0" applyFont="1" applyBorder="1"/>
    <xf numFmtId="2" fontId="25" fillId="0" borderId="92" xfId="0" applyNumberFormat="1" applyFont="1" applyBorder="1" applyAlignment="1">
      <alignment horizontal="center"/>
    </xf>
    <xf numFmtId="10" fontId="25" fillId="0" borderId="92" xfId="0" applyNumberFormat="1" applyFont="1" applyBorder="1" applyAlignment="1">
      <alignment horizontal="center"/>
    </xf>
    <xf numFmtId="0" fontId="25" fillId="0" borderId="92" xfId="0" applyFont="1" applyBorder="1" applyAlignment="1">
      <alignment horizontal="center"/>
    </xf>
    <xf numFmtId="0" fontId="46" fillId="0" borderId="0" xfId="0" applyFont="1"/>
    <xf numFmtId="166" fontId="23" fillId="5" borderId="94" xfId="0" applyNumberFormat="1" applyFont="1" applyFill="1" applyBorder="1" applyAlignment="1">
      <alignment horizontal="center" vertical="top"/>
    </xf>
    <xf numFmtId="0" fontId="21" fillId="12" borderId="0" xfId="0" applyFont="1" applyFill="1"/>
    <xf numFmtId="44" fontId="21" fillId="12" borderId="0" xfId="2" applyFont="1" applyFill="1" applyBorder="1"/>
    <xf numFmtId="0" fontId="21" fillId="7" borderId="95" xfId="0" applyFont="1" applyFill="1" applyBorder="1"/>
    <xf numFmtId="44" fontId="21" fillId="7" borderId="95" xfId="2" applyFont="1" applyFill="1" applyBorder="1"/>
    <xf numFmtId="0" fontId="3" fillId="0" borderId="0" xfId="0" applyFont="1" applyAlignment="1">
      <alignment horizontal="left" vertical="top"/>
    </xf>
    <xf numFmtId="10" fontId="25" fillId="0" borderId="99" xfId="0" applyNumberFormat="1" applyFont="1" applyBorder="1" applyAlignment="1">
      <alignment horizontal="center" vertical="center"/>
    </xf>
    <xf numFmtId="10" fontId="25" fillId="0" borderId="100" xfId="0" applyNumberFormat="1" applyFont="1" applyBorder="1" applyAlignment="1">
      <alignment horizontal="center" vertical="center"/>
    </xf>
    <xf numFmtId="10" fontId="25" fillId="13" borderId="101" xfId="0" applyNumberFormat="1" applyFont="1" applyFill="1" applyBorder="1" applyAlignment="1">
      <alignment horizontal="center" vertical="center"/>
    </xf>
    <xf numFmtId="10" fontId="25" fillId="13" borderId="95" xfId="0" applyNumberFormat="1" applyFont="1" applyFill="1" applyBorder="1" applyAlignment="1">
      <alignment horizontal="center" vertical="center"/>
    </xf>
    <xf numFmtId="166" fontId="23" fillId="10" borderId="102" xfId="0" applyNumberFormat="1" applyFont="1" applyFill="1" applyBorder="1" applyAlignment="1">
      <alignment horizontal="center" vertical="top"/>
    </xf>
    <xf numFmtId="0" fontId="25" fillId="0" borderId="0" xfId="0" applyFont="1" applyAlignment="1">
      <alignment vertical="justify" wrapText="1"/>
    </xf>
    <xf numFmtId="0" fontId="0" fillId="0" borderId="113" xfId="0" applyBorder="1"/>
    <xf numFmtId="0" fontId="0" fillId="0" borderId="112" xfId="0" applyBorder="1"/>
    <xf numFmtId="0" fontId="25" fillId="0" borderId="0" xfId="0" applyFont="1" applyAlignment="1">
      <alignment vertical="justify"/>
    </xf>
    <xf numFmtId="0" fontId="25" fillId="0" borderId="103" xfId="0" applyFont="1" applyBorder="1" applyAlignment="1">
      <alignment vertical="justify"/>
    </xf>
    <xf numFmtId="0" fontId="33" fillId="0" borderId="114" xfId="0" applyFont="1" applyBorder="1" applyAlignment="1">
      <alignment vertical="center" wrapText="1"/>
    </xf>
    <xf numFmtId="0" fontId="33" fillId="0" borderId="115" xfId="0" applyFont="1" applyBorder="1" applyAlignment="1">
      <alignment vertical="center" wrapText="1"/>
    </xf>
    <xf numFmtId="0" fontId="21" fillId="10" borderId="78" xfId="0" applyFont="1" applyFill="1" applyBorder="1"/>
    <xf numFmtId="10" fontId="25" fillId="10" borderId="80" xfId="1" applyNumberFormat="1" applyFont="1" applyFill="1" applyBorder="1"/>
    <xf numFmtId="10" fontId="28" fillId="0" borderId="0" xfId="1" applyNumberFormat="1" applyFont="1"/>
    <xf numFmtId="0" fontId="33" fillId="0" borderId="0" xfId="0" applyFont="1" applyAlignment="1">
      <alignment vertical="center" wrapText="1"/>
    </xf>
    <xf numFmtId="0" fontId="25" fillId="0" borderId="108" xfId="0" applyFont="1" applyBorder="1" applyAlignment="1">
      <alignment vertical="justify" wrapText="1"/>
    </xf>
    <xf numFmtId="10" fontId="25" fillId="0" borderId="25" xfId="0" applyNumberFormat="1" applyFont="1" applyBorder="1"/>
    <xf numFmtId="0" fontId="25" fillId="0" borderId="25" xfId="0" applyFont="1" applyBorder="1"/>
    <xf numFmtId="0" fontId="0" fillId="0" borderId="25" xfId="0" applyBorder="1"/>
    <xf numFmtId="44" fontId="25" fillId="0" borderId="25" xfId="0" applyNumberFormat="1" applyFont="1" applyBorder="1"/>
    <xf numFmtId="0" fontId="34" fillId="0" borderId="51" xfId="0" applyFont="1" applyBorder="1"/>
    <xf numFmtId="2" fontId="25" fillId="0" borderId="25" xfId="0" applyNumberFormat="1" applyFont="1" applyBorder="1"/>
    <xf numFmtId="0" fontId="49" fillId="0" borderId="51" xfId="0" applyFont="1" applyBorder="1"/>
    <xf numFmtId="0" fontId="21" fillId="10" borderId="45" xfId="0" applyFont="1" applyFill="1" applyBorder="1"/>
    <xf numFmtId="0" fontId="21" fillId="10" borderId="28" xfId="0" applyFont="1" applyFill="1" applyBorder="1" applyAlignment="1">
      <alignment horizontal="center"/>
    </xf>
    <xf numFmtId="0" fontId="27" fillId="10" borderId="28" xfId="0" applyFont="1" applyFill="1" applyBorder="1" applyAlignment="1">
      <alignment horizontal="center"/>
    </xf>
    <xf numFmtId="0" fontId="21" fillId="10" borderId="47" xfId="0" applyFont="1" applyFill="1" applyBorder="1" applyAlignment="1">
      <alignment horizontal="center"/>
    </xf>
    <xf numFmtId="0" fontId="40" fillId="10" borderId="0" xfId="0" applyFont="1" applyFill="1" applyAlignment="1">
      <alignment vertical="top"/>
    </xf>
    <xf numFmtId="0" fontId="25" fillId="0" borderId="0" xfId="0" applyFont="1" applyAlignment="1">
      <alignment wrapText="1"/>
    </xf>
    <xf numFmtId="0" fontId="21" fillId="10" borderId="53" xfId="0" applyFont="1" applyFill="1" applyBorder="1" applyAlignment="1">
      <alignment vertical="center"/>
    </xf>
    <xf numFmtId="0" fontId="21" fillId="10" borderId="53" xfId="0" applyFont="1" applyFill="1" applyBorder="1"/>
    <xf numFmtId="44" fontId="25" fillId="0" borderId="28" xfId="0" applyNumberFormat="1" applyFont="1" applyBorder="1"/>
    <xf numFmtId="9" fontId="25" fillId="0" borderId="52" xfId="1" applyFont="1" applyBorder="1"/>
    <xf numFmtId="44" fontId="25" fillId="0" borderId="126" xfId="0" applyNumberFormat="1" applyFont="1" applyBorder="1"/>
    <xf numFmtId="2" fontId="25" fillId="0" borderId="126" xfId="0" applyNumberFormat="1" applyFont="1" applyBorder="1"/>
    <xf numFmtId="9" fontId="25" fillId="0" borderId="49" xfId="1" applyFont="1" applyBorder="1"/>
    <xf numFmtId="2" fontId="25" fillId="0" borderId="28" xfId="0" applyNumberFormat="1" applyFont="1" applyBorder="1"/>
    <xf numFmtId="9" fontId="25" fillId="0" borderId="47" xfId="1" applyFont="1" applyBorder="1"/>
    <xf numFmtId="9" fontId="29" fillId="0" borderId="51" xfId="1" applyFont="1" applyBorder="1"/>
    <xf numFmtId="44" fontId="25" fillId="13" borderId="56" xfId="0" applyNumberFormat="1" applyFont="1" applyFill="1" applyBorder="1" applyAlignment="1">
      <alignment vertical="center" wrapText="1"/>
    </xf>
    <xf numFmtId="44" fontId="21" fillId="0" borderId="56" xfId="2" applyFont="1" applyBorder="1"/>
    <xf numFmtId="0" fontId="33" fillId="7" borderId="0" xfId="0" applyFont="1" applyFill="1" applyAlignment="1">
      <alignment horizontal="left"/>
    </xf>
    <xf numFmtId="0" fontId="21" fillId="6" borderId="53" xfId="0" applyFont="1" applyFill="1" applyBorder="1" applyAlignment="1">
      <alignment vertical="center"/>
    </xf>
    <xf numFmtId="44" fontId="21" fillId="6" borderId="53" xfId="2" applyFont="1" applyFill="1" applyBorder="1" applyAlignment="1">
      <alignment vertical="center"/>
    </xf>
    <xf numFmtId="0" fontId="34" fillId="0" borderId="51" xfId="0" applyFont="1" applyBorder="1" applyAlignment="1">
      <alignment vertical="center"/>
    </xf>
    <xf numFmtId="166" fontId="25" fillId="0" borderId="0" xfId="1" applyNumberFormat="1" applyFont="1" applyAlignment="1">
      <alignment horizontal="center"/>
    </xf>
    <xf numFmtId="165" fontId="25" fillId="0" borderId="0" xfId="0" applyNumberFormat="1" applyFont="1"/>
    <xf numFmtId="0" fontId="25" fillId="0" borderId="0" xfId="0" applyFont="1" applyAlignment="1">
      <alignment horizontal="left"/>
    </xf>
    <xf numFmtId="10" fontId="26" fillId="10" borderId="84" xfId="0" applyNumberFormat="1" applyFont="1" applyFill="1" applyBorder="1" applyAlignment="1">
      <alignment horizontal="center" vertical="top"/>
    </xf>
    <xf numFmtId="166" fontId="26" fillId="10" borderId="84" xfId="0" applyNumberFormat="1" applyFont="1" applyFill="1" applyBorder="1" applyAlignment="1">
      <alignment horizontal="center" vertical="top"/>
    </xf>
    <xf numFmtId="166" fontId="26" fillId="10" borderId="74" xfId="0" applyNumberFormat="1" applyFont="1" applyFill="1" applyBorder="1" applyAlignment="1">
      <alignment horizontal="center" vertical="top"/>
    </xf>
    <xf numFmtId="0" fontId="19" fillId="8" borderId="89" xfId="0" applyFont="1" applyFill="1" applyBorder="1" applyAlignment="1">
      <alignment horizontal="left" vertical="top"/>
    </xf>
    <xf numFmtId="10" fontId="25" fillId="0" borderId="75" xfId="1" applyNumberFormat="1" applyFont="1" applyBorder="1"/>
    <xf numFmtId="10" fontId="25" fillId="0" borderId="0" xfId="1" applyNumberFormat="1" applyFont="1" applyBorder="1"/>
    <xf numFmtId="0" fontId="19" fillId="3" borderId="73" xfId="0" applyFont="1" applyFill="1" applyBorder="1" applyAlignment="1">
      <alignment horizontal="left" vertical="top"/>
    </xf>
    <xf numFmtId="0" fontId="11" fillId="3" borderId="84" xfId="0" applyFont="1" applyFill="1" applyBorder="1" applyAlignment="1">
      <alignment horizontal="center" vertical="top"/>
    </xf>
    <xf numFmtId="165" fontId="11" fillId="3" borderId="84" xfId="0" applyNumberFormat="1" applyFont="1" applyFill="1" applyBorder="1" applyAlignment="1">
      <alignment horizontal="center" vertical="top" shrinkToFit="1"/>
    </xf>
    <xf numFmtId="165" fontId="11" fillId="3" borderId="74" xfId="0" applyNumberFormat="1" applyFont="1" applyFill="1" applyBorder="1" applyAlignment="1">
      <alignment horizontal="center" vertical="top" shrinkToFit="1"/>
    </xf>
    <xf numFmtId="9" fontId="25" fillId="10" borderId="74" xfId="0" applyNumberFormat="1" applyFont="1" applyFill="1" applyBorder="1"/>
    <xf numFmtId="44" fontId="25" fillId="0" borderId="0" xfId="1" applyNumberFormat="1" applyFont="1" applyFill="1" applyBorder="1"/>
    <xf numFmtId="0" fontId="21" fillId="0" borderId="130" xfId="0" applyFont="1" applyBorder="1" applyAlignment="1">
      <alignment horizontal="center"/>
    </xf>
    <xf numFmtId="0" fontId="21" fillId="0" borderId="131" xfId="0" applyFont="1" applyBorder="1" applyAlignment="1">
      <alignment horizontal="center"/>
    </xf>
    <xf numFmtId="0" fontId="25" fillId="10" borderId="130" xfId="0" applyFont="1" applyFill="1" applyBorder="1" applyAlignment="1">
      <alignment horizontal="center"/>
    </xf>
    <xf numFmtId="0" fontId="25" fillId="0" borderId="25" xfId="0" applyFont="1" applyBorder="1" applyAlignment="1">
      <alignment horizontal="center"/>
    </xf>
    <xf numFmtId="0" fontId="25" fillId="0" borderId="51" xfId="0" applyFont="1" applyBorder="1" applyAlignment="1">
      <alignment horizontal="center"/>
    </xf>
    <xf numFmtId="0" fontId="33" fillId="7" borderId="0" xfId="0" applyFont="1" applyFill="1" applyAlignment="1">
      <alignment horizontal="left" vertical="center"/>
    </xf>
    <xf numFmtId="0" fontId="25" fillId="0" borderId="126" xfId="0" applyFont="1" applyBorder="1" applyAlignment="1">
      <alignment horizontal="center" wrapText="1"/>
    </xf>
    <xf numFmtId="0" fontId="25" fillId="0" borderId="28" xfId="0" applyFont="1" applyBorder="1" applyAlignment="1">
      <alignment horizontal="center" wrapText="1"/>
    </xf>
    <xf numFmtId="0" fontId="25" fillId="0" borderId="25" xfId="0" applyFont="1" applyBorder="1" applyAlignment="1">
      <alignment horizontal="center" wrapText="1"/>
    </xf>
    <xf numFmtId="0" fontId="48" fillId="7" borderId="0" xfId="0" applyFont="1" applyFill="1" applyAlignment="1">
      <alignment horizontal="center" vertical="center"/>
    </xf>
    <xf numFmtId="0" fontId="52" fillId="14" borderId="0" xfId="0" applyFont="1" applyFill="1" applyAlignment="1">
      <alignment horizontal="left" vertical="center"/>
    </xf>
    <xf numFmtId="0" fontId="53" fillId="14" borderId="0" xfId="0" applyFont="1" applyFill="1" applyAlignment="1">
      <alignment horizontal="left" vertical="center"/>
    </xf>
    <xf numFmtId="0" fontId="21" fillId="10" borderId="53" xfId="0" applyFont="1" applyFill="1" applyBorder="1" applyAlignment="1">
      <alignment horizontal="center" wrapText="1"/>
    </xf>
    <xf numFmtId="0" fontId="25" fillId="0" borderId="0" xfId="0" applyFont="1" applyAlignment="1">
      <alignment horizontal="center" vertical="center" wrapText="1"/>
    </xf>
    <xf numFmtId="0" fontId="25" fillId="0" borderId="126" xfId="0" applyFont="1" applyBorder="1" applyAlignment="1">
      <alignment horizontal="center" vertical="center" wrapText="1"/>
    </xf>
    <xf numFmtId="0" fontId="25" fillId="0" borderId="0" xfId="0" applyFont="1" applyAlignment="1">
      <alignment horizontal="left" vertical="top" wrapText="1"/>
    </xf>
    <xf numFmtId="0" fontId="25" fillId="13" borderId="53" xfId="0" applyFont="1" applyFill="1" applyBorder="1" applyAlignment="1">
      <alignment horizontal="left" vertical="center" wrapText="1"/>
    </xf>
    <xf numFmtId="0" fontId="25" fillId="13" borderId="45" xfId="0" applyFont="1" applyFill="1" applyBorder="1" applyAlignment="1">
      <alignment horizontal="left" vertical="center" wrapText="1"/>
    </xf>
    <xf numFmtId="0" fontId="25" fillId="13" borderId="48" xfId="0" applyFont="1" applyFill="1" applyBorder="1" applyAlignment="1">
      <alignment horizontal="left" vertical="top" wrapText="1"/>
    </xf>
    <xf numFmtId="0" fontId="25" fillId="13" borderId="126" xfId="0" applyFont="1" applyFill="1" applyBorder="1" applyAlignment="1">
      <alignment horizontal="left" vertical="top" wrapText="1"/>
    </xf>
    <xf numFmtId="0" fontId="25" fillId="13" borderId="49" xfId="0" applyFont="1" applyFill="1" applyBorder="1" applyAlignment="1">
      <alignment horizontal="left" vertical="top" wrapText="1"/>
    </xf>
    <xf numFmtId="0" fontId="25" fillId="13" borderId="50" xfId="0" applyFont="1" applyFill="1" applyBorder="1" applyAlignment="1">
      <alignment horizontal="left" vertical="top" wrapText="1"/>
    </xf>
    <xf numFmtId="0" fontId="25" fillId="13" borderId="0" xfId="0" applyFont="1" applyFill="1" applyAlignment="1">
      <alignment horizontal="left" vertical="top" wrapText="1"/>
    </xf>
    <xf numFmtId="0" fontId="25" fillId="13" borderId="52" xfId="0" applyFont="1" applyFill="1" applyBorder="1" applyAlignment="1">
      <alignment horizontal="left" vertical="top" wrapText="1"/>
    </xf>
    <xf numFmtId="0" fontId="25" fillId="13" borderId="89" xfId="0" applyFont="1" applyFill="1" applyBorder="1" applyAlignment="1">
      <alignment horizontal="left" vertical="top" wrapText="1"/>
    </xf>
    <xf numFmtId="0" fontId="25" fillId="13" borderId="25" xfId="0" applyFont="1" applyFill="1" applyBorder="1" applyAlignment="1">
      <alignment horizontal="left" vertical="top" wrapText="1"/>
    </xf>
    <xf numFmtId="0" fontId="25" fillId="13" borderId="51" xfId="0" applyFont="1" applyFill="1" applyBorder="1" applyAlignment="1">
      <alignment horizontal="left" vertical="top" wrapText="1"/>
    </xf>
    <xf numFmtId="0" fontId="25" fillId="13" borderId="55" xfId="0" applyFont="1" applyFill="1" applyBorder="1" applyAlignment="1">
      <alignment horizontal="center" vertical="center"/>
    </xf>
    <xf numFmtId="0" fontId="25" fillId="13" borderId="70" xfId="0" applyFont="1" applyFill="1" applyBorder="1" applyAlignment="1">
      <alignment horizontal="center" wrapText="1"/>
    </xf>
    <xf numFmtId="0" fontId="25" fillId="13" borderId="55" xfId="0" applyFont="1" applyFill="1" applyBorder="1" applyAlignment="1">
      <alignment horizontal="center" wrapText="1"/>
    </xf>
    <xf numFmtId="0" fontId="25" fillId="13" borderId="70" xfId="0" applyFont="1" applyFill="1" applyBorder="1" applyAlignment="1">
      <alignment horizontal="left" vertical="center" wrapText="1"/>
    </xf>
    <xf numFmtId="0" fontId="25" fillId="13" borderId="48" xfId="0" applyFont="1" applyFill="1" applyBorder="1" applyAlignment="1">
      <alignment horizontal="left" vertical="center" wrapText="1"/>
    </xf>
    <xf numFmtId="0" fontId="33" fillId="10" borderId="126" xfId="0" applyFont="1" applyFill="1" applyBorder="1" applyAlignment="1">
      <alignment horizontal="center"/>
    </xf>
    <xf numFmtId="0" fontId="33" fillId="10" borderId="49" xfId="0" applyFont="1" applyFill="1" applyBorder="1" applyAlignment="1">
      <alignment horizontal="center"/>
    </xf>
    <xf numFmtId="170" fontId="33" fillId="0" borderId="48" xfId="0" applyNumberFormat="1" applyFont="1" applyBorder="1" applyAlignment="1">
      <alignment horizontal="center" vertical="center"/>
    </xf>
    <xf numFmtId="170" fontId="33" fillId="0" borderId="126" xfId="0" applyNumberFormat="1" applyFont="1" applyBorder="1" applyAlignment="1">
      <alignment horizontal="center" vertical="center"/>
    </xf>
    <xf numFmtId="170" fontId="33" fillId="0" borderId="89" xfId="0" applyNumberFormat="1" applyFont="1" applyBorder="1" applyAlignment="1">
      <alignment horizontal="center" vertical="center"/>
    </xf>
    <xf numFmtId="170" fontId="33" fillId="0" borderId="25" xfId="0" applyNumberFormat="1" applyFont="1" applyBorder="1" applyAlignment="1">
      <alignment horizontal="center" vertical="center"/>
    </xf>
    <xf numFmtId="170" fontId="33" fillId="0" borderId="49" xfId="0" applyNumberFormat="1" applyFont="1" applyBorder="1" applyAlignment="1">
      <alignment horizontal="center" vertical="center"/>
    </xf>
    <xf numFmtId="170" fontId="33" fillId="0" borderId="51" xfId="0" applyNumberFormat="1" applyFont="1" applyBorder="1" applyAlignment="1">
      <alignment horizontal="center" vertical="center"/>
    </xf>
    <xf numFmtId="0" fontId="25" fillId="0" borderId="89" xfId="0" applyFont="1" applyBorder="1" applyAlignment="1">
      <alignment horizontal="center"/>
    </xf>
    <xf numFmtId="0" fontId="25" fillId="13" borderId="70" xfId="0" applyFont="1" applyFill="1" applyBorder="1" applyAlignment="1">
      <alignment horizontal="center" vertical="center"/>
    </xf>
    <xf numFmtId="0" fontId="25" fillId="13" borderId="70" xfId="0" applyFont="1" applyFill="1" applyBorder="1" applyAlignment="1">
      <alignment horizontal="center" vertical="center" wrapText="1"/>
    </xf>
    <xf numFmtId="0" fontId="25" fillId="13" borderId="55" xfId="0" applyFont="1" applyFill="1" applyBorder="1" applyAlignment="1">
      <alignment horizontal="center" vertical="center" wrapText="1"/>
    </xf>
    <xf numFmtId="0" fontId="25" fillId="13" borderId="75" xfId="0" applyFont="1" applyFill="1" applyBorder="1" applyAlignment="1">
      <alignment horizontal="center" vertical="center" wrapText="1"/>
    </xf>
    <xf numFmtId="0" fontId="33" fillId="10" borderId="48" xfId="0" applyFont="1" applyFill="1" applyBorder="1" applyAlignment="1">
      <alignment horizontal="center"/>
    </xf>
    <xf numFmtId="0" fontId="9" fillId="0" borderId="0" xfId="0" applyFont="1" applyAlignment="1">
      <alignment horizontal="left" vertical="top"/>
    </xf>
    <xf numFmtId="0" fontId="11" fillId="0" borderId="0" xfId="0" applyFont="1" applyAlignment="1">
      <alignment horizontal="left"/>
    </xf>
    <xf numFmtId="0" fontId="47" fillId="10" borderId="96" xfId="0" applyFont="1" applyFill="1" applyBorder="1" applyAlignment="1">
      <alignment horizontal="center" vertical="center"/>
    </xf>
    <xf numFmtId="0" fontId="47" fillId="10" borderId="97" xfId="0" applyFont="1" applyFill="1" applyBorder="1" applyAlignment="1">
      <alignment horizontal="center" vertical="center"/>
    </xf>
    <xf numFmtId="0" fontId="47" fillId="10" borderId="98" xfId="0" applyFont="1" applyFill="1" applyBorder="1" applyAlignment="1">
      <alignment horizontal="center" vertical="center"/>
    </xf>
    <xf numFmtId="0" fontId="47" fillId="10" borderId="96" xfId="0" applyFont="1" applyFill="1" applyBorder="1" applyAlignment="1">
      <alignment horizontal="center"/>
    </xf>
    <xf numFmtId="0" fontId="47" fillId="10" borderId="97" xfId="0" applyFont="1" applyFill="1" applyBorder="1" applyAlignment="1">
      <alignment horizontal="center"/>
    </xf>
    <xf numFmtId="0" fontId="47" fillId="10" borderId="98" xfId="0" applyFont="1" applyFill="1" applyBorder="1" applyAlignment="1">
      <alignment horizontal="center"/>
    </xf>
    <xf numFmtId="0" fontId="25" fillId="0" borderId="78" xfId="0" applyFont="1" applyBorder="1" applyAlignment="1">
      <alignment horizontal="center" vertical="center" wrapText="1"/>
    </xf>
    <xf numFmtId="0" fontId="25" fillId="0" borderId="79" xfId="0" applyFont="1" applyBorder="1" applyAlignment="1">
      <alignment horizontal="center" vertical="center" wrapText="1"/>
    </xf>
    <xf numFmtId="0" fontId="25" fillId="0" borderId="80" xfId="0" applyFont="1" applyBorder="1" applyAlignment="1">
      <alignment horizontal="center" vertical="center" wrapText="1"/>
    </xf>
    <xf numFmtId="0" fontId="25" fillId="0" borderId="76"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83"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122" xfId="0" applyFont="1" applyBorder="1" applyAlignment="1">
      <alignment horizontal="center" vertical="center" wrapText="1"/>
    </xf>
    <xf numFmtId="0" fontId="33" fillId="0" borderId="123" xfId="0" applyFont="1" applyBorder="1" applyAlignment="1">
      <alignment horizontal="center" vertical="center" wrapText="1"/>
    </xf>
    <xf numFmtId="0" fontId="33" fillId="0" borderId="0" xfId="0" applyFont="1" applyAlignment="1">
      <alignment horizontal="center" vertical="center" wrapText="1"/>
    </xf>
    <xf numFmtId="0" fontId="33" fillId="0" borderId="124" xfId="0" applyFont="1" applyBorder="1" applyAlignment="1">
      <alignment horizontal="center" vertical="center" wrapText="1"/>
    </xf>
    <xf numFmtId="0" fontId="33" fillId="0" borderId="125" xfId="0" applyFont="1" applyBorder="1" applyAlignment="1">
      <alignment horizontal="center" vertical="center" wrapText="1"/>
    </xf>
    <xf numFmtId="0" fontId="33" fillId="0" borderId="114" xfId="0" applyFont="1" applyBorder="1" applyAlignment="1">
      <alignment horizontal="center" vertical="center" wrapText="1"/>
    </xf>
    <xf numFmtId="0" fontId="33" fillId="0" borderId="115" xfId="0" applyFont="1" applyBorder="1" applyAlignment="1">
      <alignment horizontal="center" vertical="center" wrapText="1"/>
    </xf>
    <xf numFmtId="0" fontId="33" fillId="0" borderId="116" xfId="0" applyFont="1" applyBorder="1" applyAlignment="1">
      <alignment horizontal="center" vertical="center" wrapText="1"/>
    </xf>
    <xf numFmtId="0" fontId="33" fillId="0" borderId="117" xfId="0" applyFont="1" applyBorder="1" applyAlignment="1">
      <alignment horizontal="center" vertical="center" wrapText="1"/>
    </xf>
    <xf numFmtId="0" fontId="33" fillId="0" borderId="118" xfId="0" applyFont="1" applyBorder="1" applyAlignment="1">
      <alignment horizontal="center" vertical="center" wrapText="1"/>
    </xf>
    <xf numFmtId="0" fontId="25" fillId="0" borderId="53" xfId="0" applyFont="1" applyBorder="1" applyAlignment="1">
      <alignment horizontal="left" vertical="justify" wrapText="1"/>
    </xf>
    <xf numFmtId="0" fontId="36" fillId="7" borderId="104" xfId="0" applyFont="1" applyFill="1" applyBorder="1" applyAlignment="1">
      <alignment horizontal="center" vertical="center"/>
    </xf>
    <xf numFmtId="0" fontId="36" fillId="7" borderId="105" xfId="0" applyFont="1" applyFill="1" applyBorder="1" applyAlignment="1">
      <alignment horizontal="center" vertical="center"/>
    </xf>
    <xf numFmtId="0" fontId="36" fillId="7" borderId="106" xfId="0" applyFont="1" applyFill="1" applyBorder="1" applyAlignment="1">
      <alignment horizontal="center" vertical="center"/>
    </xf>
    <xf numFmtId="0" fontId="36" fillId="7" borderId="107" xfId="0" applyFont="1" applyFill="1" applyBorder="1" applyAlignment="1">
      <alignment horizontal="center" vertical="center"/>
    </xf>
    <xf numFmtId="0" fontId="36" fillId="7" borderId="0" xfId="0" applyFont="1" applyFill="1" applyAlignment="1">
      <alignment horizontal="center" vertical="center"/>
    </xf>
    <xf numFmtId="0" fontId="36" fillId="7" borderId="108" xfId="0" applyFont="1" applyFill="1" applyBorder="1" applyAlignment="1">
      <alignment horizontal="center" vertical="center"/>
    </xf>
    <xf numFmtId="0" fontId="36" fillId="7" borderId="109" xfId="0" applyFont="1" applyFill="1" applyBorder="1" applyAlignment="1">
      <alignment horizontal="center" vertical="center"/>
    </xf>
    <xf numFmtId="0" fontId="36" fillId="7" borderId="110" xfId="0" applyFont="1" applyFill="1" applyBorder="1" applyAlignment="1">
      <alignment horizontal="center" vertical="center"/>
    </xf>
    <xf numFmtId="0" fontId="36" fillId="7" borderId="111" xfId="0" applyFont="1" applyFill="1" applyBorder="1" applyAlignment="1">
      <alignment horizontal="center" vertical="center"/>
    </xf>
    <xf numFmtId="0" fontId="25" fillId="0" borderId="53" xfId="0" applyFont="1" applyBorder="1" applyAlignment="1">
      <alignment horizontal="center" vertical="center" wrapText="1"/>
    </xf>
    <xf numFmtId="0" fontId="25" fillId="0" borderId="53" xfId="0" applyFont="1" applyBorder="1" applyAlignment="1">
      <alignment horizontal="left" vertical="justify"/>
    </xf>
    <xf numFmtId="0" fontId="33" fillId="0" borderId="119"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120" xfId="0" applyFont="1" applyBorder="1" applyAlignment="1">
      <alignment horizontal="center" vertical="center" wrapText="1"/>
    </xf>
    <xf numFmtId="0" fontId="21" fillId="9" borderId="78" xfId="0" applyFont="1" applyFill="1" applyBorder="1" applyAlignment="1">
      <alignment horizontal="center" vertical="center"/>
    </xf>
    <xf numFmtId="0" fontId="21" fillId="9" borderId="79" xfId="0" applyFont="1" applyFill="1" applyBorder="1" applyAlignment="1">
      <alignment horizontal="center" vertical="center"/>
    </xf>
    <xf numFmtId="0" fontId="21" fillId="9" borderId="80" xfId="0" applyFont="1" applyFill="1" applyBorder="1" applyAlignment="1">
      <alignment horizontal="center" vertical="center"/>
    </xf>
    <xf numFmtId="0" fontId="21" fillId="9" borderId="81" xfId="0" applyFont="1" applyFill="1" applyBorder="1" applyAlignment="1">
      <alignment horizontal="center" vertical="center"/>
    </xf>
    <xf numFmtId="0" fontId="21" fillId="9" borderId="82" xfId="0" applyFont="1" applyFill="1" applyBorder="1" applyAlignment="1">
      <alignment horizontal="center" vertical="center"/>
    </xf>
    <xf numFmtId="0" fontId="21" fillId="9" borderId="83" xfId="0" applyFont="1" applyFill="1" applyBorder="1" applyAlignment="1">
      <alignment horizontal="center" vertical="center"/>
    </xf>
    <xf numFmtId="0" fontId="33" fillId="7" borderId="0" xfId="0" applyFont="1" applyFill="1" applyAlignment="1">
      <alignment horizontal="center" vertical="center"/>
    </xf>
    <xf numFmtId="0" fontId="21" fillId="10" borderId="78" xfId="0" applyFont="1" applyFill="1" applyBorder="1" applyAlignment="1">
      <alignment horizontal="center" vertical="center"/>
    </xf>
    <xf numFmtId="0" fontId="21" fillId="10" borderId="79" xfId="0" applyFont="1" applyFill="1" applyBorder="1" applyAlignment="1">
      <alignment horizontal="center" vertical="center"/>
    </xf>
    <xf numFmtId="0" fontId="21" fillId="10" borderId="80" xfId="0" applyFont="1" applyFill="1" applyBorder="1" applyAlignment="1">
      <alignment horizontal="center" vertical="center"/>
    </xf>
    <xf numFmtId="0" fontId="21" fillId="10" borderId="81" xfId="0" applyFont="1" applyFill="1" applyBorder="1" applyAlignment="1">
      <alignment horizontal="center" vertical="center"/>
    </xf>
    <xf numFmtId="0" fontId="21" fillId="10" borderId="82" xfId="0" applyFont="1" applyFill="1" applyBorder="1" applyAlignment="1">
      <alignment horizontal="center" vertical="center"/>
    </xf>
    <xf numFmtId="0" fontId="21" fillId="10" borderId="83" xfId="0" applyFont="1" applyFill="1" applyBorder="1" applyAlignment="1">
      <alignment horizontal="center" vertical="center"/>
    </xf>
    <xf numFmtId="0" fontId="25" fillId="0" borderId="0" xfId="0" applyFont="1" applyAlignment="1">
      <alignment horizontal="center" vertical="center"/>
    </xf>
    <xf numFmtId="0" fontId="25" fillId="11" borderId="79" xfId="0" applyFont="1" applyFill="1" applyBorder="1" applyAlignment="1">
      <alignment horizontal="center"/>
    </xf>
    <xf numFmtId="0" fontId="25" fillId="11" borderId="0" xfId="0" applyFont="1" applyFill="1" applyAlignment="1">
      <alignment horizontal="center"/>
    </xf>
    <xf numFmtId="0" fontId="37" fillId="3" borderId="0" xfId="0" applyFont="1" applyFill="1" applyAlignment="1">
      <alignment horizontal="center" vertical="center"/>
    </xf>
    <xf numFmtId="0" fontId="25" fillId="0" borderId="48" xfId="0" applyFont="1" applyBorder="1" applyAlignment="1">
      <alignment horizontal="left" vertical="top" wrapText="1"/>
    </xf>
    <xf numFmtId="0" fontId="25" fillId="0" borderId="126" xfId="0" applyFont="1" applyBorder="1" applyAlignment="1">
      <alignment horizontal="left" vertical="top" wrapText="1"/>
    </xf>
    <xf numFmtId="0" fontId="25" fillId="0" borderId="49" xfId="0" applyFont="1" applyBorder="1" applyAlignment="1">
      <alignment horizontal="left" vertical="top" wrapText="1"/>
    </xf>
    <xf numFmtId="0" fontId="25" fillId="0" borderId="50" xfId="0" applyFont="1" applyBorder="1" applyAlignment="1">
      <alignment horizontal="left" vertical="top" wrapText="1"/>
    </xf>
    <xf numFmtId="0" fontId="25" fillId="0" borderId="52" xfId="0" applyFont="1" applyBorder="1" applyAlignment="1">
      <alignment horizontal="left" vertical="top" wrapText="1"/>
    </xf>
    <xf numFmtId="0" fontId="25" fillId="0" borderId="89" xfId="0" applyFont="1" applyBorder="1" applyAlignment="1">
      <alignment horizontal="left" vertical="top" wrapText="1"/>
    </xf>
    <xf numFmtId="0" fontId="25" fillId="0" borderId="25" xfId="0" applyFont="1" applyBorder="1" applyAlignment="1">
      <alignment horizontal="left" vertical="top" wrapText="1"/>
    </xf>
    <xf numFmtId="0" fontId="25" fillId="0" borderId="51" xfId="0" applyFont="1" applyBorder="1" applyAlignment="1">
      <alignment horizontal="left" vertical="top" wrapText="1"/>
    </xf>
    <xf numFmtId="0" fontId="51" fillId="0" borderId="48" xfId="0" applyFont="1" applyBorder="1" applyAlignment="1">
      <alignment horizontal="left" vertical="center" wrapText="1"/>
    </xf>
    <xf numFmtId="0" fontId="51" fillId="0" borderId="126" xfId="0" applyFont="1" applyBorder="1" applyAlignment="1">
      <alignment horizontal="left" vertical="center" wrapText="1"/>
    </xf>
    <xf numFmtId="0" fontId="51" fillId="0" borderId="49" xfId="0" applyFont="1" applyBorder="1" applyAlignment="1">
      <alignment horizontal="left" vertical="center" wrapText="1"/>
    </xf>
    <xf numFmtId="0" fontId="51" fillId="0" borderId="50" xfId="0" applyFont="1" applyBorder="1" applyAlignment="1">
      <alignment horizontal="left" vertical="center" wrapText="1"/>
    </xf>
    <xf numFmtId="0" fontId="51" fillId="0" borderId="0" xfId="0" applyFont="1" applyAlignment="1">
      <alignment horizontal="left" vertical="center" wrapText="1"/>
    </xf>
    <xf numFmtId="0" fontId="51" fillId="0" borderId="52" xfId="0" applyFont="1" applyBorder="1" applyAlignment="1">
      <alignment horizontal="left" vertical="center" wrapText="1"/>
    </xf>
    <xf numFmtId="0" fontId="51" fillId="0" borderId="89" xfId="0" applyFont="1" applyBorder="1" applyAlignment="1">
      <alignment horizontal="left" vertical="center" wrapText="1"/>
    </xf>
    <xf numFmtId="0" fontId="51" fillId="0" borderId="25" xfId="0" applyFont="1" applyBorder="1" applyAlignment="1">
      <alignment horizontal="left" vertical="center" wrapText="1"/>
    </xf>
    <xf numFmtId="0" fontId="51" fillId="0" borderId="51" xfId="0" applyFont="1" applyBorder="1" applyAlignment="1">
      <alignment horizontal="left" vertical="center" wrapText="1"/>
    </xf>
    <xf numFmtId="0" fontId="31" fillId="0" borderId="48" xfId="0" applyFont="1" applyBorder="1" applyAlignment="1">
      <alignment horizontal="left" vertical="center" wrapText="1"/>
    </xf>
    <xf numFmtId="0" fontId="31" fillId="0" borderId="126" xfId="0" applyFont="1" applyBorder="1" applyAlignment="1">
      <alignment horizontal="left" vertical="center" wrapText="1"/>
    </xf>
    <xf numFmtId="0" fontId="31" fillId="0" borderId="49" xfId="0" applyFont="1" applyBorder="1" applyAlignment="1">
      <alignment horizontal="left" vertical="center" wrapText="1"/>
    </xf>
    <xf numFmtId="0" fontId="31" fillId="0" borderId="50" xfId="0" applyFont="1" applyBorder="1" applyAlignment="1">
      <alignment horizontal="left" vertical="center" wrapText="1"/>
    </xf>
    <xf numFmtId="0" fontId="31" fillId="0" borderId="0" xfId="0" applyFont="1" applyAlignment="1">
      <alignment horizontal="left" vertical="center" wrapText="1"/>
    </xf>
    <xf numFmtId="0" fontId="31" fillId="0" borderId="52" xfId="0" applyFont="1" applyBorder="1" applyAlignment="1">
      <alignment horizontal="left" vertical="center" wrapText="1"/>
    </xf>
    <xf numFmtId="0" fontId="31" fillId="0" borderId="89" xfId="0" applyFont="1" applyBorder="1" applyAlignment="1">
      <alignment horizontal="left" vertical="center" wrapText="1"/>
    </xf>
    <xf numFmtId="0" fontId="31" fillId="0" borderId="25" xfId="0" applyFont="1" applyBorder="1" applyAlignment="1">
      <alignment horizontal="left" vertical="center" wrapText="1"/>
    </xf>
    <xf numFmtId="0" fontId="31" fillId="0" borderId="51" xfId="0" applyFont="1" applyBorder="1" applyAlignment="1">
      <alignment horizontal="left" vertical="center" wrapText="1"/>
    </xf>
    <xf numFmtId="0" fontId="37" fillId="7" borderId="0" xfId="0" applyFont="1" applyFill="1" applyAlignment="1">
      <alignment horizontal="center" vertical="center"/>
    </xf>
    <xf numFmtId="0" fontId="25" fillId="0" borderId="45" xfId="0" applyFont="1" applyBorder="1" applyAlignment="1">
      <alignment horizontal="left"/>
    </xf>
    <xf numFmtId="0" fontId="25" fillId="0" borderId="28" xfId="0" applyFont="1" applyBorder="1" applyAlignment="1">
      <alignment horizontal="left"/>
    </xf>
    <xf numFmtId="0" fontId="25" fillId="0" borderId="121" xfId="0" applyFont="1" applyBorder="1" applyAlignment="1">
      <alignment horizontal="center" vertical="center" wrapText="1"/>
    </xf>
    <xf numFmtId="0" fontId="25" fillId="0" borderId="122" xfId="0" applyFont="1" applyBorder="1" applyAlignment="1">
      <alignment horizontal="center" vertical="center" wrapText="1"/>
    </xf>
    <xf numFmtId="0" fontId="25" fillId="0" borderId="127" xfId="0" applyFont="1" applyBorder="1" applyAlignment="1">
      <alignment horizontal="center" vertical="center" wrapText="1"/>
    </xf>
    <xf numFmtId="0" fontId="25" fillId="0" borderId="123" xfId="0" applyFont="1" applyBorder="1" applyAlignment="1">
      <alignment horizontal="center" vertical="center" wrapText="1"/>
    </xf>
    <xf numFmtId="0" fontId="25" fillId="0" borderId="128" xfId="0" applyFont="1" applyBorder="1" applyAlignment="1">
      <alignment horizontal="center" vertical="center" wrapText="1"/>
    </xf>
    <xf numFmtId="0" fontId="25" fillId="0" borderId="124" xfId="0" applyFont="1" applyBorder="1" applyAlignment="1">
      <alignment horizontal="center" vertical="center" wrapText="1"/>
    </xf>
    <xf numFmtId="0" fontId="25" fillId="0" borderId="125" xfId="0" applyFont="1" applyBorder="1" applyAlignment="1">
      <alignment horizontal="center" vertical="center" wrapText="1"/>
    </xf>
    <xf numFmtId="0" fontId="25" fillId="0" borderId="129" xfId="0" applyFont="1" applyBorder="1" applyAlignment="1">
      <alignment horizontal="center" vertical="center" wrapText="1"/>
    </xf>
    <xf numFmtId="0" fontId="36" fillId="7" borderId="78" xfId="0" applyFont="1" applyFill="1" applyBorder="1" applyAlignment="1">
      <alignment horizontal="center" vertical="center"/>
    </xf>
    <xf numFmtId="0" fontId="36" fillId="7" borderId="79" xfId="0" applyFont="1" applyFill="1" applyBorder="1" applyAlignment="1">
      <alignment horizontal="center" vertical="center"/>
    </xf>
    <xf numFmtId="0" fontId="36" fillId="7" borderId="80" xfId="0" applyFont="1" applyFill="1" applyBorder="1" applyAlignment="1">
      <alignment horizontal="center" vertical="center"/>
    </xf>
    <xf numFmtId="0" fontId="36" fillId="7" borderId="81" xfId="0" applyFont="1" applyFill="1" applyBorder="1" applyAlignment="1">
      <alignment horizontal="center" vertical="center"/>
    </xf>
    <xf numFmtId="0" fontId="36" fillId="7" borderId="82" xfId="0" applyFont="1" applyFill="1" applyBorder="1" applyAlignment="1">
      <alignment horizontal="center" vertical="center"/>
    </xf>
    <xf numFmtId="0" fontId="36" fillId="7" borderId="83" xfId="0" applyFont="1" applyFill="1" applyBorder="1" applyAlignment="1">
      <alignment horizontal="center" vertical="center"/>
    </xf>
    <xf numFmtId="0" fontId="40" fillId="10" borderId="56" xfId="0" applyFont="1" applyFill="1" applyBorder="1" applyAlignment="1">
      <alignment horizontal="center"/>
    </xf>
    <xf numFmtId="0" fontId="40" fillId="10" borderId="73" xfId="0" applyFont="1" applyFill="1" applyBorder="1" applyAlignment="1">
      <alignment horizontal="center"/>
    </xf>
    <xf numFmtId="0" fontId="40" fillId="10" borderId="84" xfId="0" applyFont="1" applyFill="1" applyBorder="1" applyAlignment="1">
      <alignment horizontal="center"/>
    </xf>
    <xf numFmtId="0" fontId="40" fillId="10" borderId="74" xfId="0" applyFont="1" applyFill="1" applyBorder="1" applyAlignment="1">
      <alignment horizontal="center"/>
    </xf>
    <xf numFmtId="0" fontId="48" fillId="7" borderId="78" xfId="0" applyFont="1" applyFill="1" applyBorder="1" applyAlignment="1">
      <alignment horizontal="center" vertical="center"/>
    </xf>
    <xf numFmtId="0" fontId="48" fillId="7" borderId="79" xfId="0" applyFont="1" applyFill="1" applyBorder="1" applyAlignment="1">
      <alignment horizontal="center" vertical="center"/>
    </xf>
    <xf numFmtId="0" fontId="48" fillId="7" borderId="80" xfId="0" applyFont="1" applyFill="1" applyBorder="1" applyAlignment="1">
      <alignment horizontal="center" vertical="center"/>
    </xf>
    <xf numFmtId="0" fontId="48" fillId="7" borderId="81" xfId="0" applyFont="1" applyFill="1" applyBorder="1" applyAlignment="1">
      <alignment horizontal="center" vertical="center"/>
    </xf>
    <xf numFmtId="0" fontId="48" fillId="7" borderId="82" xfId="0" applyFont="1" applyFill="1" applyBorder="1" applyAlignment="1">
      <alignment horizontal="center" vertical="center"/>
    </xf>
    <xf numFmtId="0" fontId="48" fillId="7" borderId="83" xfId="0" applyFont="1" applyFill="1" applyBorder="1" applyAlignment="1">
      <alignment horizontal="center" vertical="center"/>
    </xf>
    <xf numFmtId="0" fontId="21" fillId="6" borderId="0" xfId="0" applyFont="1" applyFill="1" applyAlignment="1">
      <alignment horizontal="center" vertical="center"/>
    </xf>
    <xf numFmtId="0" fontId="21" fillId="7" borderId="65" xfId="0" applyFont="1" applyFill="1" applyBorder="1" applyAlignment="1">
      <alignment horizontal="center" vertical="center"/>
    </xf>
    <xf numFmtId="0" fontId="21" fillId="7" borderId="0" xfId="0" applyFont="1" applyFill="1" applyAlignment="1">
      <alignment horizontal="center" vertical="center"/>
    </xf>
    <xf numFmtId="0" fontId="21" fillId="6" borderId="73" xfId="0" applyFont="1" applyFill="1" applyBorder="1" applyAlignment="1">
      <alignment horizontal="center" vertical="center"/>
    </xf>
    <xf numFmtId="0" fontId="21" fillId="6" borderId="74" xfId="0" applyFont="1" applyFill="1" applyBorder="1" applyAlignment="1">
      <alignment horizontal="center" vertical="center"/>
    </xf>
  </cellXfs>
  <cellStyles count="3">
    <cellStyle name="Currency" xfId="2" builtinId="4"/>
    <cellStyle name="Normal" xfId="0" builtinId="0"/>
    <cellStyle name="Per cent" xfId="1" builtinId="5"/>
  </cellStyles>
  <dxfs count="0"/>
  <tableStyles count="0" defaultTableStyle="TableStyleMedium2" defaultPivotStyle="PivotStyleLight16"/>
  <colors>
    <mruColors>
      <color rgb="FFA3EAE1"/>
      <color rgb="FFE3FEFD"/>
      <color rgb="FF9BDCD2"/>
      <color rgb="FFEDFEFF"/>
      <color rgb="FFADF8EF"/>
      <color rgb="FFA6EEE5"/>
      <color rgb="FFCCFEF8"/>
      <color rgb="FFF4CB74"/>
      <color rgb="FF82C66B"/>
      <color rgb="FF507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1950657</xdr:colOff>
      <xdr:row>25</xdr:row>
      <xdr:rowOff>23231</xdr:rowOff>
    </xdr:from>
    <xdr:ext cx="2074016" cy="366879"/>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916CBFE6-7FEE-E9F5-817B-4E61749AFE66}"/>
                </a:ext>
              </a:extLst>
            </xdr:cNvPr>
            <xdr:cNvSpPr txBox="1"/>
          </xdr:nvSpPr>
          <xdr:spPr>
            <a:xfrm>
              <a:off x="5582547" y="4901890"/>
              <a:ext cx="2074016" cy="36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
                    <m:sSub>
                      <m:sSubPr>
                        <m:ctrlPr>
                          <a:rPr lang="en-GB" sz="1100" i="1">
                            <a:latin typeface="Cambria Math" panose="02040503050406030204" pitchFamily="18" charset="0"/>
                            <a:ea typeface="Cambria Math" panose="02040503050406030204" pitchFamily="18" charset="0"/>
                          </a:rPr>
                        </m:ctrlPr>
                      </m:sSubPr>
                      <m:e>
                        <m:r>
                          <a:rPr lang="en-GB" sz="1100" i="1">
                            <a:latin typeface="Cambria Math" panose="02040503050406030204" pitchFamily="18" charset="0"/>
                            <a:ea typeface="Cambria Math" panose="02040503050406030204" pitchFamily="18" charset="0"/>
                          </a:rPr>
                          <m:t>𝛽</m:t>
                        </m:r>
                      </m:e>
                      <m:sub>
                        <m:r>
                          <a:rPr lang="it-IT" sz="1100" b="0" i="1">
                            <a:latin typeface="Cambria Math" panose="02040503050406030204" pitchFamily="18" charset="0"/>
                            <a:ea typeface="Cambria Math" panose="02040503050406030204" pitchFamily="18" charset="0"/>
                          </a:rPr>
                          <m:t>𝐿</m:t>
                        </m:r>
                      </m:sub>
                    </m:sSub>
                    <m:r>
                      <a:rPr lang="it-IT" sz="1100" b="0" i="1">
                        <a:latin typeface="Cambria Math" panose="02040503050406030204" pitchFamily="18" charset="0"/>
                        <a:ea typeface="Cambria Math" panose="02040503050406030204" pitchFamily="18" charset="0"/>
                      </a:rPr>
                      <m:t>= </m:t>
                    </m:r>
                    <m:sSub>
                      <m:sSubPr>
                        <m:ctrlPr>
                          <a:rPr lang="en-GB" sz="1100" i="1">
                            <a:latin typeface="Cambria Math" panose="02040503050406030204" pitchFamily="18" charset="0"/>
                            <a:ea typeface="Cambria Math" panose="02040503050406030204" pitchFamily="18" charset="0"/>
                          </a:rPr>
                        </m:ctrlPr>
                      </m:sSubPr>
                      <m:e>
                        <m:r>
                          <a:rPr lang="en-GB" sz="1100" i="1">
                            <a:latin typeface="Cambria Math" panose="02040503050406030204" pitchFamily="18" charset="0"/>
                            <a:ea typeface="Cambria Math" panose="02040503050406030204" pitchFamily="18" charset="0"/>
                          </a:rPr>
                          <m:t>𝛽</m:t>
                        </m:r>
                      </m:e>
                      <m:sub>
                        <m:r>
                          <a:rPr lang="it-IT" sz="1100" b="0" i="1">
                            <a:latin typeface="Cambria Math" panose="02040503050406030204" pitchFamily="18" charset="0"/>
                            <a:ea typeface="Cambria Math" panose="02040503050406030204" pitchFamily="18" charset="0"/>
                          </a:rPr>
                          <m:t>𝑈</m:t>
                        </m:r>
                        <m:r>
                          <a:rPr lang="it-IT" sz="1100" b="0" i="1">
                            <a:latin typeface="Cambria Math" panose="02040503050406030204" pitchFamily="18" charset="0"/>
                            <a:ea typeface="Cambria Math" panose="02040503050406030204" pitchFamily="18" charset="0"/>
                          </a:rPr>
                          <m:t> </m:t>
                        </m:r>
                      </m:sub>
                    </m:sSub>
                    <m:r>
                      <a:rPr lang="it-IT" sz="1100" b="0" i="1">
                        <a:latin typeface="Cambria Math" panose="02040503050406030204" pitchFamily="18" charset="0"/>
                        <a:ea typeface="Cambria Math" panose="02040503050406030204" pitchFamily="18" charset="0"/>
                      </a:rPr>
                      <m:t>∗</m:t>
                    </m:r>
                    <m:d>
                      <m:dPr>
                        <m:begChr m:val="⌊"/>
                        <m:endChr m:val="⌋"/>
                        <m:ctrlPr>
                          <a:rPr lang="it-IT" sz="1100" b="0" i="1">
                            <a:latin typeface="Cambria Math" panose="02040503050406030204" pitchFamily="18" charset="0"/>
                            <a:ea typeface="Cambria Math" panose="02040503050406030204" pitchFamily="18" charset="0"/>
                          </a:rPr>
                        </m:ctrlPr>
                      </m:dPr>
                      <m:e>
                        <m:r>
                          <a:rPr lang="it-IT" sz="1100" b="0" i="1">
                            <a:latin typeface="Cambria Math" panose="02040503050406030204" pitchFamily="18" charset="0"/>
                            <a:ea typeface="Cambria Math" panose="02040503050406030204" pitchFamily="18" charset="0"/>
                          </a:rPr>
                          <m:t>1+ (1−</m:t>
                        </m:r>
                        <m:r>
                          <a:rPr lang="it-IT" sz="1100" b="0" i="1">
                            <a:latin typeface="Cambria Math" panose="02040503050406030204" pitchFamily="18" charset="0"/>
                            <a:ea typeface="Cambria Math" panose="02040503050406030204" pitchFamily="18" charset="0"/>
                          </a:rPr>
                          <m:t>𝑡</m:t>
                        </m:r>
                        <m:r>
                          <a:rPr lang="it-IT" sz="1100" b="0" i="1">
                            <a:latin typeface="Cambria Math" panose="02040503050406030204" pitchFamily="18" charset="0"/>
                            <a:ea typeface="Cambria Math" panose="02040503050406030204" pitchFamily="18" charset="0"/>
                          </a:rPr>
                          <m:t>)∗ </m:t>
                        </m:r>
                        <m:f>
                          <m:fPr>
                            <m:ctrlPr>
                              <a:rPr lang="it-IT" sz="1100" b="0" i="1">
                                <a:latin typeface="Cambria Math" panose="02040503050406030204" pitchFamily="18" charset="0"/>
                                <a:ea typeface="Cambria Math" panose="02040503050406030204" pitchFamily="18" charset="0"/>
                              </a:rPr>
                            </m:ctrlPr>
                          </m:fPr>
                          <m:num>
                            <m:r>
                              <m:rPr>
                                <m:sty m:val="p"/>
                              </m:rPr>
                              <a:rPr lang="it-IT" sz="1100" b="0" i="1">
                                <a:latin typeface="Cambria Math" panose="02040503050406030204" pitchFamily="18" charset="0"/>
                                <a:ea typeface="Cambria Math" panose="02040503050406030204" pitchFamily="18" charset="0"/>
                              </a:rPr>
                              <m:t>D</m:t>
                            </m:r>
                          </m:num>
                          <m:den>
                            <m:r>
                              <m:rPr>
                                <m:sty m:val="p"/>
                              </m:rPr>
                              <a:rPr lang="it-IT" sz="1100" b="0" i="1">
                                <a:latin typeface="Cambria Math" panose="02040503050406030204" pitchFamily="18" charset="0"/>
                                <a:ea typeface="Cambria Math" panose="02040503050406030204" pitchFamily="18" charset="0"/>
                              </a:rPr>
                              <m:t>E</m:t>
                            </m:r>
                          </m:den>
                        </m:f>
                        <m:r>
                          <a:rPr lang="it-IT" sz="1100" b="0" i="1">
                            <a:latin typeface="Cambria Math" panose="02040503050406030204" pitchFamily="18" charset="0"/>
                            <a:ea typeface="Cambria Math" panose="02040503050406030204" pitchFamily="18" charset="0"/>
                          </a:rPr>
                          <m:t> </m:t>
                        </m:r>
                      </m:e>
                    </m:d>
                  </m:oMath>
                </m:oMathPara>
              </a14:m>
              <a:endParaRPr lang="en-GB" sz="1100"/>
            </a:p>
          </xdr:txBody>
        </xdr:sp>
      </mc:Choice>
      <mc:Fallback xmlns="">
        <xdr:sp macro="" textlink="">
          <xdr:nvSpPr>
            <xdr:cNvPr id="2" name="TextBox 1">
              <a:extLst>
                <a:ext uri="{FF2B5EF4-FFF2-40B4-BE49-F238E27FC236}">
                  <a16:creationId xmlns:a16="http://schemas.microsoft.com/office/drawing/2014/main" id="{916CBFE6-7FEE-E9F5-817B-4E61749AFE66}"/>
                </a:ext>
              </a:extLst>
            </xdr:cNvPr>
            <xdr:cNvSpPr txBox="1"/>
          </xdr:nvSpPr>
          <xdr:spPr>
            <a:xfrm>
              <a:off x="5582547" y="4901890"/>
              <a:ext cx="2074016" cy="36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GB" sz="1100" i="0">
                  <a:latin typeface="Cambria Math" panose="02040503050406030204" pitchFamily="18" charset="0"/>
                  <a:ea typeface="Cambria Math" panose="02040503050406030204" pitchFamily="18" charset="0"/>
                </a:rPr>
                <a:t>𝛽_</a:t>
              </a:r>
              <a:r>
                <a:rPr lang="it-IT" sz="1100" b="0" i="0">
                  <a:latin typeface="Cambria Math" panose="02040503050406030204" pitchFamily="18" charset="0"/>
                  <a:ea typeface="Cambria Math" panose="02040503050406030204" pitchFamily="18" charset="0"/>
                </a:rPr>
                <a:t>𝐿= </a:t>
              </a:r>
              <a:r>
                <a:rPr lang="en-GB" sz="1100" i="0">
                  <a:latin typeface="Cambria Math" panose="02040503050406030204" pitchFamily="18" charset="0"/>
                  <a:ea typeface="Cambria Math" panose="02040503050406030204" pitchFamily="18" charset="0"/>
                </a:rPr>
                <a:t>𝛽_(</a:t>
              </a:r>
              <a:r>
                <a:rPr lang="it-IT" sz="1100" b="0" i="0">
                  <a:latin typeface="Cambria Math" panose="02040503050406030204" pitchFamily="18" charset="0"/>
                  <a:ea typeface="Cambria Math" panose="02040503050406030204" pitchFamily="18" charset="0"/>
                </a:rPr>
                <a:t>𝑈 </a:t>
              </a:r>
              <a:r>
                <a:rPr lang="en-GB" sz="1100" b="0" i="0">
                  <a:latin typeface="Cambria Math" panose="02040503050406030204" pitchFamily="18" charset="0"/>
                  <a:ea typeface="Cambria Math" panose="02040503050406030204" pitchFamily="18" charset="0"/>
                </a:rPr>
                <a:t>)</a:t>
              </a:r>
              <a:r>
                <a:rPr lang="it-IT" sz="1100" b="0" i="0">
                  <a:latin typeface="Cambria Math" panose="02040503050406030204" pitchFamily="18" charset="0"/>
                  <a:ea typeface="Cambria Math" panose="02040503050406030204" pitchFamily="18" charset="0"/>
                </a:rPr>
                <a:t>∗⌊1+ (1−𝑡)∗ D/E  ⌋</a:t>
              </a:r>
              <a:endParaRPr lang="en-GB" sz="1100"/>
            </a:p>
          </xdr:txBody>
        </xdr:sp>
      </mc:Fallback>
    </mc:AlternateContent>
    <xdr:clientData/>
  </xdr:oneCellAnchor>
  <xdr:oneCellAnchor>
    <xdr:from>
      <xdr:col>4</xdr:col>
      <xdr:colOff>392854</xdr:colOff>
      <xdr:row>50</xdr:row>
      <xdr:rowOff>47413</xdr:rowOff>
    </xdr:from>
    <xdr:ext cx="1752600" cy="364067"/>
    <mc:AlternateContent xmlns:mc="http://schemas.openxmlformats.org/markup-compatibility/2006" xmlns:a14="http://schemas.microsoft.com/office/drawing/2010/main">
      <mc:Choice Requires="a14">
        <xdr:sp macro="" textlink="">
          <xdr:nvSpPr>
            <xdr:cNvPr id="4" name="TextBox 2">
              <a:extLst>
                <a:ext uri="{FF2B5EF4-FFF2-40B4-BE49-F238E27FC236}">
                  <a16:creationId xmlns:a16="http://schemas.microsoft.com/office/drawing/2014/main" id="{F53345E2-3D28-914E-AE46-413024A30539}"/>
                </a:ext>
              </a:extLst>
            </xdr:cNvPr>
            <xdr:cNvSpPr txBox="1"/>
          </xdr:nvSpPr>
          <xdr:spPr>
            <a:xfrm>
              <a:off x="7393094" y="11253893"/>
              <a:ext cx="1752600" cy="3640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
                    <m:f>
                      <m:fPr>
                        <m:ctrlPr>
                          <a:rPr lang="it-IT" sz="1100" b="0" i="1">
                            <a:latin typeface="Cambria Math" panose="02040503050406030204" pitchFamily="18" charset="0"/>
                            <a:ea typeface="Cambria Math" panose="02040503050406030204" pitchFamily="18" charset="0"/>
                          </a:rPr>
                        </m:ctrlPr>
                      </m:fPr>
                      <m:num>
                        <m:r>
                          <m:rPr>
                            <m:sty m:val="p"/>
                          </m:rPr>
                          <a:rPr lang="it-IT" sz="1100" b="0" i="1">
                            <a:latin typeface="Cambria Math" panose="02040503050406030204" pitchFamily="18" charset="0"/>
                            <a:ea typeface="Cambria Math" panose="02040503050406030204" pitchFamily="18" charset="0"/>
                          </a:rPr>
                          <m:t>E</m:t>
                        </m:r>
                      </m:num>
                      <m:den>
                        <m:r>
                          <m:rPr>
                            <m:sty m:val="p"/>
                          </m:rPr>
                          <a:rPr lang="it-IT" sz="1100" b="0" i="1">
                            <a:latin typeface="Cambria Math" panose="02040503050406030204" pitchFamily="18" charset="0"/>
                            <a:ea typeface="Cambria Math" panose="02040503050406030204" pitchFamily="18" charset="0"/>
                          </a:rPr>
                          <m:t>D</m:t>
                        </m:r>
                        <m:r>
                          <a:rPr lang="it-IT" sz="1100" b="0" i="1">
                            <a:latin typeface="Cambria Math" panose="02040503050406030204" pitchFamily="18" charset="0"/>
                            <a:ea typeface="Cambria Math" panose="02040503050406030204" pitchFamily="18" charset="0"/>
                          </a:rPr>
                          <m:t>+</m:t>
                        </m:r>
                        <m:r>
                          <m:rPr>
                            <m:sty m:val="p"/>
                          </m:rPr>
                          <a:rPr lang="it-IT" sz="1100" b="0" i="1">
                            <a:latin typeface="Cambria Math" panose="02040503050406030204" pitchFamily="18" charset="0"/>
                            <a:ea typeface="Cambria Math" panose="02040503050406030204" pitchFamily="18" charset="0"/>
                          </a:rPr>
                          <m:t>E</m:t>
                        </m:r>
                      </m:den>
                    </m:f>
                    <m:r>
                      <a:rPr lang="it-IT" sz="1100" b="0" i="1">
                        <a:latin typeface="Cambria Math" panose="02040503050406030204" pitchFamily="18" charset="0"/>
                        <a:ea typeface="Cambria Math" panose="02040503050406030204" pitchFamily="18" charset="0"/>
                      </a:rPr>
                      <m:t>= 1 − </m:t>
                    </m:r>
                    <m:f>
                      <m:fPr>
                        <m:ctrlPr>
                          <a:rPr lang="it-IT" sz="1100" b="0" i="1">
                            <a:latin typeface="Cambria Math" panose="02040503050406030204" pitchFamily="18" charset="0"/>
                            <a:ea typeface="Cambria Math" panose="02040503050406030204" pitchFamily="18" charset="0"/>
                          </a:rPr>
                        </m:ctrlPr>
                      </m:fPr>
                      <m:num>
                        <m:r>
                          <m:rPr>
                            <m:sty m:val="p"/>
                          </m:rPr>
                          <a:rPr lang="it-IT" sz="1100" b="0" i="1">
                            <a:latin typeface="Cambria Math" panose="02040503050406030204" pitchFamily="18" charset="0"/>
                            <a:ea typeface="Cambria Math" panose="02040503050406030204" pitchFamily="18" charset="0"/>
                          </a:rPr>
                          <m:t>D</m:t>
                        </m:r>
                      </m:num>
                      <m:den>
                        <m:r>
                          <m:rPr>
                            <m:sty m:val="p"/>
                          </m:rPr>
                          <a:rPr lang="it-IT" sz="1100" b="0" i="1">
                            <a:latin typeface="Cambria Math" panose="02040503050406030204" pitchFamily="18" charset="0"/>
                            <a:ea typeface="Cambria Math" panose="02040503050406030204" pitchFamily="18" charset="0"/>
                          </a:rPr>
                          <m:t>D</m:t>
                        </m:r>
                        <m:r>
                          <a:rPr lang="it-IT" sz="1100" b="0" i="1">
                            <a:latin typeface="Cambria Math" panose="02040503050406030204" pitchFamily="18" charset="0"/>
                            <a:ea typeface="Cambria Math" panose="02040503050406030204" pitchFamily="18" charset="0"/>
                          </a:rPr>
                          <m:t>+</m:t>
                        </m:r>
                        <m:r>
                          <m:rPr>
                            <m:sty m:val="p"/>
                          </m:rPr>
                          <a:rPr lang="it-IT" sz="1100" b="0" i="1">
                            <a:latin typeface="Cambria Math" panose="02040503050406030204" pitchFamily="18" charset="0"/>
                            <a:ea typeface="Cambria Math" panose="02040503050406030204" pitchFamily="18" charset="0"/>
                          </a:rPr>
                          <m:t>E</m:t>
                        </m:r>
                      </m:den>
                    </m:f>
                    <m:r>
                      <a:rPr lang="it-IT" sz="1100" b="0" i="1">
                        <a:latin typeface="Cambria Math" panose="02040503050406030204" pitchFamily="18" charset="0"/>
                        <a:ea typeface="Cambria Math" panose="02040503050406030204" pitchFamily="18" charset="0"/>
                      </a:rPr>
                      <m:t> </m:t>
                    </m:r>
                  </m:oMath>
                </m:oMathPara>
              </a14:m>
              <a:endParaRPr lang="en-GB" sz="1100"/>
            </a:p>
          </xdr:txBody>
        </xdr:sp>
      </mc:Choice>
      <mc:Fallback xmlns="">
        <xdr:sp macro="" textlink="">
          <xdr:nvSpPr>
            <xdr:cNvPr id="3" name="TextBox 2">
              <a:extLst>
                <a:ext uri="{FF2B5EF4-FFF2-40B4-BE49-F238E27FC236}">
                  <a16:creationId xmlns:a16="http://schemas.microsoft.com/office/drawing/2014/main" id="{F53345E2-3D28-914E-AE46-413024A30539}"/>
                </a:ext>
              </a:extLst>
            </xdr:cNvPr>
            <xdr:cNvSpPr txBox="1"/>
          </xdr:nvSpPr>
          <xdr:spPr>
            <a:xfrm>
              <a:off x="7393094" y="11253893"/>
              <a:ext cx="1752600" cy="3640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it-IT" sz="1100" b="0" i="0">
                  <a:latin typeface="Cambria Math" panose="02040503050406030204" pitchFamily="18" charset="0"/>
                  <a:ea typeface="Cambria Math" panose="02040503050406030204" pitchFamily="18" charset="0"/>
                </a:rPr>
                <a:t>E/(D+E)= 1 −  D/(D+E)  </a:t>
              </a:r>
              <a:endParaRPr lang="en-GB"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3</xdr:col>
      <xdr:colOff>5563</xdr:colOff>
      <xdr:row>36</xdr:row>
      <xdr:rowOff>99732</xdr:rowOff>
    </xdr:from>
    <xdr:to>
      <xdr:col>3</xdr:col>
      <xdr:colOff>817773</xdr:colOff>
      <xdr:row>36</xdr:row>
      <xdr:rowOff>99733</xdr:rowOff>
    </xdr:to>
    <xdr:cxnSp macro="">
      <xdr:nvCxnSpPr>
        <xdr:cNvPr id="23" name="Straight Connector 1">
          <a:extLst>
            <a:ext uri="{FF2B5EF4-FFF2-40B4-BE49-F238E27FC236}">
              <a16:creationId xmlns:a16="http://schemas.microsoft.com/office/drawing/2014/main" id="{BA628FE6-482D-A44C-BBBF-46F9F26C7772}"/>
            </a:ext>
          </a:extLst>
        </xdr:cNvPr>
        <xdr:cNvCxnSpPr/>
      </xdr:nvCxnSpPr>
      <xdr:spPr>
        <a:xfrm>
          <a:off x="5840201" y="7646109"/>
          <a:ext cx="81221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824753</xdr:colOff>
      <xdr:row>34</xdr:row>
      <xdr:rowOff>179150</xdr:rowOff>
    </xdr:from>
    <xdr:to>
      <xdr:col>10</xdr:col>
      <xdr:colOff>758704</xdr:colOff>
      <xdr:row>37</xdr:row>
      <xdr:rowOff>177210</xdr:rowOff>
    </xdr:to>
    <xdr:sp macro="" textlink="">
      <xdr:nvSpPr>
        <xdr:cNvPr id="21" name="Rectangle 2">
          <a:extLst>
            <a:ext uri="{FF2B5EF4-FFF2-40B4-BE49-F238E27FC236}">
              <a16:creationId xmlns:a16="http://schemas.microsoft.com/office/drawing/2014/main" id="{F8B85429-9168-B94A-94B5-BA18252474F3}"/>
            </a:ext>
          </a:extLst>
        </xdr:cNvPr>
        <xdr:cNvSpPr/>
      </xdr:nvSpPr>
      <xdr:spPr>
        <a:xfrm>
          <a:off x="6659391" y="7339005"/>
          <a:ext cx="7452719" cy="57784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 number of shares outstanding was obtained from CompaniesMarketCap, which provides historical data on Douglas AG’s shares outstanding over time.</a:t>
          </a:r>
        </a:p>
        <a:p>
          <a:pPr marL="0" marR="0" lvl="0" indent="0" algn="ctr" defTabSz="914400" eaLnBrk="1" fontAlgn="auto" latinLnBrk="0" hangingPunct="1">
            <a:lnSpc>
              <a:spcPct val="100000"/>
            </a:lnSpc>
            <a:spcBef>
              <a:spcPts val="0"/>
            </a:spcBef>
            <a:spcAft>
              <a:spcPts val="0"/>
            </a:spcAft>
            <a:buClrTx/>
            <a:buSzTx/>
            <a:buFontTx/>
            <a:buNone/>
            <a:tabLst/>
            <a:defRPr/>
          </a:pPr>
          <a:r>
            <a:rPr lang="en-GB" b="0" i="1" u="sng">
              <a:latin typeface="Arial" panose="020B0604020202020204" pitchFamily="34" charset="0"/>
              <a:cs typeface="Arial" panose="020B0604020202020204" pitchFamily="34" charset="0"/>
            </a:rPr>
            <a:t>https://companiesmarketcap.com/eur/douglas-ag/shares-outstanding/#google_vignette</a:t>
          </a:r>
          <a:br>
            <a:rPr lang="en-GB">
              <a:latin typeface="Arial" panose="020B0604020202020204" pitchFamily="34" charset="0"/>
              <a:cs typeface="Arial" panose="020B0604020202020204" pitchFamily="34" charset="0"/>
            </a:rPr>
          </a:br>
          <a:endParaRPr lang="en-GB">
            <a:latin typeface="Arial" panose="020B0604020202020204" pitchFamily="34" charset="0"/>
            <a:cs typeface="Arial" panose="020B0604020202020204" pitchFamily="34" charset="0"/>
          </a:endParaRPr>
        </a:p>
      </xdr:txBody>
    </xdr:sp>
    <xdr:clientData/>
  </xdr:twoCellAnchor>
  <xdr:oneCellAnchor>
    <xdr:from>
      <xdr:col>3</xdr:col>
      <xdr:colOff>413488</xdr:colOff>
      <xdr:row>28</xdr:row>
      <xdr:rowOff>118139</xdr:rowOff>
    </xdr:from>
    <xdr:ext cx="7302500" cy="254557"/>
    <xdr:sp macro="" textlink="">
      <xdr:nvSpPr>
        <xdr:cNvPr id="22" name="CasellaDiTesto 88">
          <a:extLst>
            <a:ext uri="{FF2B5EF4-FFF2-40B4-BE49-F238E27FC236}">
              <a16:creationId xmlns:a16="http://schemas.microsoft.com/office/drawing/2014/main" id="{9AFC035B-4440-A946-979D-93CCBBC54DBE}"/>
            </a:ext>
            <a:ext uri="{147F2762-F138-4A5C-976F-8EAC2B608ADB}">
              <a16:predDERef xmlns:a16="http://schemas.microsoft.com/office/drawing/2014/main" pred="{7BCFC113-D2DA-9AB2-BDCF-723518173D96}"/>
            </a:ext>
          </a:extLst>
        </xdr:cNvPr>
        <xdr:cNvSpPr txBox="1"/>
      </xdr:nvSpPr>
      <xdr:spPr>
        <a:xfrm>
          <a:off x="4814186" y="5892209"/>
          <a:ext cx="7302500" cy="254557"/>
        </a:xfrm>
        <a:prstGeom prst="rect">
          <a:avLst/>
        </a:prstGeom>
        <a:solidFill>
          <a:srgbClr val="CCFEF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it-IT" sz="1100">
              <a:latin typeface="Arial" panose="020B0604020202020204" pitchFamily="34" charset="0"/>
              <a:cs typeface="Arial" panose="020B0604020202020204" pitchFamily="34" charset="0"/>
            </a:rPr>
            <a:t>The </a:t>
          </a:r>
          <a:r>
            <a:rPr lang="it-IT" sz="1100" b="1">
              <a:latin typeface="Arial" panose="020B0604020202020204" pitchFamily="34" charset="0"/>
              <a:cs typeface="Arial" panose="020B0604020202020204" pitchFamily="34" charset="0"/>
            </a:rPr>
            <a:t>Terminal Value</a:t>
          </a:r>
          <a:r>
            <a:rPr lang="it-IT" sz="1100">
              <a:latin typeface="Arial" panose="020B0604020202020204" pitchFamily="34" charset="0"/>
              <a:cs typeface="Arial" panose="020B0604020202020204" pitchFamily="34" charset="0"/>
            </a:rPr>
            <a:t> represent the value of future free cash flows beyond 2029, assuming co</a:t>
          </a:r>
          <a:r>
            <a:rPr lang="en-GB" sz="1100">
              <a:latin typeface="Arial" panose="020B0604020202020204" pitchFamily="34" charset="0"/>
              <a:cs typeface="Arial" panose="020B0604020202020204" pitchFamily="34" charset="0"/>
            </a:rPr>
            <a:t>n</a:t>
          </a:r>
          <a:r>
            <a:rPr lang="it-IT" sz="1100">
              <a:latin typeface="Arial" panose="020B0604020202020204" pitchFamily="34" charset="0"/>
              <a:cs typeface="Arial" panose="020B0604020202020204" pitchFamily="34" charset="0"/>
            </a:rPr>
            <a:t>s</a:t>
          </a:r>
          <a:r>
            <a:rPr lang="en-GB" sz="1100">
              <a:latin typeface="Arial" panose="020B0604020202020204" pitchFamily="34" charset="0"/>
              <a:cs typeface="Arial" panose="020B0604020202020204" pitchFamily="34" charset="0"/>
            </a:rPr>
            <a:t>t</a:t>
          </a:r>
          <a:r>
            <a:rPr lang="it-IT" sz="1100">
              <a:latin typeface="Arial" panose="020B0604020202020204" pitchFamily="34" charset="0"/>
              <a:cs typeface="Arial" panose="020B0604020202020204" pitchFamily="34" charset="0"/>
            </a:rPr>
            <a:t>ant growth at 5%</a:t>
          </a:r>
        </a:p>
      </xdr:txBody>
    </xdr:sp>
    <xdr:clientData/>
  </xdr:oneCellAnchor>
  <xdr:twoCellAnchor>
    <xdr:from>
      <xdr:col>2</xdr:col>
      <xdr:colOff>1018953</xdr:colOff>
      <xdr:row>28</xdr:row>
      <xdr:rowOff>132908</xdr:rowOff>
    </xdr:from>
    <xdr:to>
      <xdr:col>3</xdr:col>
      <xdr:colOff>413488</xdr:colOff>
      <xdr:row>29</xdr:row>
      <xdr:rowOff>59069</xdr:rowOff>
    </xdr:to>
    <xdr:cxnSp macro="">
      <xdr:nvCxnSpPr>
        <xdr:cNvPr id="24" name="Straight Connector 10">
          <a:extLst>
            <a:ext uri="{FF2B5EF4-FFF2-40B4-BE49-F238E27FC236}">
              <a16:creationId xmlns:a16="http://schemas.microsoft.com/office/drawing/2014/main" id="{5429C472-0C67-E74B-A69E-8F54B1E233D3}"/>
            </a:ext>
          </a:extLst>
        </xdr:cNvPr>
        <xdr:cNvCxnSpPr/>
      </xdr:nvCxnSpPr>
      <xdr:spPr>
        <a:xfrm>
          <a:off x="4400697" y="5906978"/>
          <a:ext cx="413489" cy="1181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9</xdr:col>
      <xdr:colOff>73492</xdr:colOff>
      <xdr:row>36</xdr:row>
      <xdr:rowOff>73854</xdr:rowOff>
    </xdr:from>
    <xdr:ext cx="3897126" cy="623440"/>
    <xdr:sp macro="" textlink="">
      <xdr:nvSpPr>
        <xdr:cNvPr id="2" name="CasellaDiTesto 88">
          <a:extLst>
            <a:ext uri="{FF2B5EF4-FFF2-40B4-BE49-F238E27FC236}">
              <a16:creationId xmlns:a16="http://schemas.microsoft.com/office/drawing/2014/main" id="{E330BAFC-D5F7-8F4A-9826-539CA68CBC75}"/>
            </a:ext>
          </a:extLst>
        </xdr:cNvPr>
        <xdr:cNvSpPr txBox="1"/>
      </xdr:nvSpPr>
      <xdr:spPr>
        <a:xfrm>
          <a:off x="16927899" y="7091142"/>
          <a:ext cx="3897126" cy="623440"/>
        </a:xfrm>
        <a:prstGeom prst="rect">
          <a:avLst/>
        </a:prstGeom>
        <a:solidFill>
          <a:srgbClr val="FFFF00"/>
        </a:solidFill>
        <a:ln w="952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200" b="1">
              <a:solidFill>
                <a:schemeClr val="tx1"/>
              </a:solidFill>
              <a:effectLst/>
              <a:latin typeface="Arial" panose="020B0604020202020204" pitchFamily="34" charset="0"/>
              <a:ea typeface="+mn-ea"/>
              <a:cs typeface="Arial" panose="020B0604020202020204" pitchFamily="34" charset="0"/>
            </a:rPr>
            <a:t>Small changes in the</a:t>
          </a:r>
          <a:r>
            <a:rPr lang="en-GB" sz="1200" b="1" baseline="0">
              <a:solidFill>
                <a:schemeClr val="tx1"/>
              </a:solidFill>
              <a:effectLst/>
              <a:latin typeface="Arial" panose="020B0604020202020204" pitchFamily="34" charset="0"/>
              <a:ea typeface="+mn-ea"/>
              <a:cs typeface="Arial" panose="020B0604020202020204" pitchFamily="34" charset="0"/>
            </a:rPr>
            <a:t> </a:t>
          </a:r>
          <a:r>
            <a:rPr lang="en-GB" sz="1200" b="1">
              <a:solidFill>
                <a:schemeClr val="tx1"/>
              </a:solidFill>
              <a:effectLst/>
              <a:latin typeface="Arial" panose="020B0604020202020204" pitchFamily="34" charset="0"/>
              <a:ea typeface="+mn-ea"/>
              <a:cs typeface="Arial" panose="020B0604020202020204" pitchFamily="34" charset="0"/>
            </a:rPr>
            <a:t>long-run growth rate or operating margin can significantly alter the estimated stock price.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26276</xdr:colOff>
      <xdr:row>30</xdr:row>
      <xdr:rowOff>105103</xdr:rowOff>
    </xdr:from>
    <xdr:to>
      <xdr:col>4</xdr:col>
      <xdr:colOff>0</xdr:colOff>
      <xdr:row>33</xdr:row>
      <xdr:rowOff>113863</xdr:rowOff>
    </xdr:to>
    <xdr:cxnSp macro="">
      <xdr:nvCxnSpPr>
        <xdr:cNvPr id="341" name="Straight Connector 24">
          <a:extLst>
            <a:ext uri="{FF2B5EF4-FFF2-40B4-BE49-F238E27FC236}">
              <a16:creationId xmlns:a16="http://schemas.microsoft.com/office/drawing/2014/main" id="{23FD113D-DCCF-4BDF-A0D9-3C72F41B6470}"/>
            </a:ext>
          </a:extLst>
        </xdr:cNvPr>
        <xdr:cNvCxnSpPr/>
      </xdr:nvCxnSpPr>
      <xdr:spPr>
        <a:xfrm>
          <a:off x="4318000" y="5745655"/>
          <a:ext cx="893379" cy="5693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0</xdr:colOff>
      <xdr:row>9</xdr:row>
      <xdr:rowOff>0</xdr:rowOff>
    </xdr:from>
    <xdr:to>
      <xdr:col>11</xdr:col>
      <xdr:colOff>762000</xdr:colOff>
      <xdr:row>11</xdr:row>
      <xdr:rowOff>118534</xdr:rowOff>
    </xdr:to>
    <xdr:cxnSp macro="">
      <xdr:nvCxnSpPr>
        <xdr:cNvPr id="101" name="Straight Connector 1">
          <a:extLst>
            <a:ext uri="{FF2B5EF4-FFF2-40B4-BE49-F238E27FC236}">
              <a16:creationId xmlns:a16="http://schemas.microsoft.com/office/drawing/2014/main" id="{EB6A4BA6-65B6-8247-BD2B-D44C0559CA53}"/>
            </a:ext>
          </a:extLst>
        </xdr:cNvPr>
        <xdr:cNvCxnSpPr/>
      </xdr:nvCxnSpPr>
      <xdr:spPr>
        <a:xfrm flipV="1">
          <a:off x="11353800" y="1473200"/>
          <a:ext cx="762000" cy="5249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715445</xdr:colOff>
      <xdr:row>5</xdr:row>
      <xdr:rowOff>52345</xdr:rowOff>
    </xdr:from>
    <xdr:to>
      <xdr:col>18</xdr:col>
      <xdr:colOff>477873</xdr:colOff>
      <xdr:row>10</xdr:row>
      <xdr:rowOff>89454</xdr:rowOff>
    </xdr:to>
    <mc:AlternateContent xmlns:mc="http://schemas.openxmlformats.org/markup-compatibility/2006" xmlns:a14="http://schemas.microsoft.com/office/drawing/2010/main">
      <mc:Choice Requires="a14">
        <xdr:sp macro="" textlink="">
          <xdr:nvSpPr>
            <xdr:cNvPr id="14" name="Rectangle 2">
              <a:extLst>
                <a:ext uri="{FF2B5EF4-FFF2-40B4-BE49-F238E27FC236}">
                  <a16:creationId xmlns:a16="http://schemas.microsoft.com/office/drawing/2014/main" id="{6F8897E2-1347-7743-B638-325D7894D6B6}"/>
                </a:ext>
              </a:extLst>
            </xdr:cNvPr>
            <xdr:cNvSpPr/>
          </xdr:nvSpPr>
          <xdr:spPr>
            <a:xfrm>
              <a:off x="13999353" y="1015793"/>
              <a:ext cx="5893463" cy="9859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sSub>
                      <m:sSubPr>
                        <m:ctrlPr>
                          <a:rPr lang="it-IT" b="0" i="1">
                            <a:latin typeface="Cambria Math" panose="02040503050406030204" pitchFamily="18" charset="0"/>
                          </a:rPr>
                        </m:ctrlPr>
                      </m:sSubPr>
                      <m:e>
                        <m:r>
                          <a:rPr lang="it-IT" b="0" i="1">
                            <a:latin typeface="Cambria Math" panose="02040503050406030204" pitchFamily="18" charset="0"/>
                          </a:rPr>
                          <m:t>𝑟</m:t>
                        </m:r>
                      </m:e>
                      <m:sub>
                        <m:r>
                          <a:rPr lang="it-IT" b="0" i="1">
                            <a:latin typeface="Cambria Math" panose="02040503050406030204" pitchFamily="18" charset="0"/>
                          </a:rPr>
                          <m:t>𝑢</m:t>
                        </m:r>
                      </m:sub>
                    </m:sSub>
                    <m:r>
                      <a:rPr lang="it-IT" b="0" i="1">
                        <a:latin typeface="Cambria Math" panose="02040503050406030204" pitchFamily="18" charset="0"/>
                      </a:rPr>
                      <m:t>=</m:t>
                    </m:r>
                    <m:sSub>
                      <m:sSubPr>
                        <m:ctrlPr>
                          <a:rPr lang="it-IT" b="0" i="1">
                            <a:latin typeface="Cambria Math" panose="02040503050406030204" pitchFamily="18" charset="0"/>
                          </a:rPr>
                        </m:ctrlPr>
                      </m:sSubPr>
                      <m:e>
                        <m:r>
                          <a:rPr lang="it-IT" b="0" i="1">
                            <a:latin typeface="Cambria Math" panose="02040503050406030204" pitchFamily="18" charset="0"/>
                          </a:rPr>
                          <m:t>𝑟</m:t>
                        </m:r>
                      </m:e>
                      <m:sub>
                        <m:r>
                          <a:rPr lang="it-IT" b="0" i="1">
                            <a:latin typeface="Cambria Math" panose="02040503050406030204" pitchFamily="18" charset="0"/>
                          </a:rPr>
                          <m:t>𝑓</m:t>
                        </m:r>
                      </m:sub>
                    </m:sSub>
                    <m:r>
                      <a:rPr lang="it-IT" b="0" i="1">
                        <a:latin typeface="Cambria Math" panose="02040503050406030204" pitchFamily="18" charset="0"/>
                      </a:rPr>
                      <m:t>+</m:t>
                    </m:r>
                    <m:sSub>
                      <m:sSubPr>
                        <m:ctrlPr>
                          <a:rPr lang="it-IT" b="0" i="1">
                            <a:latin typeface="Cambria Math" panose="02040503050406030204" pitchFamily="18" charset="0"/>
                            <a:ea typeface="Cambria Math" panose="02040503050406030204" pitchFamily="18" charset="0"/>
                          </a:rPr>
                        </m:ctrlPr>
                      </m:sSubPr>
                      <m:e>
                        <m:r>
                          <a:rPr lang="it-IT" b="0" i="1">
                            <a:latin typeface="Cambria Math" panose="02040503050406030204" pitchFamily="18" charset="0"/>
                            <a:ea typeface="Cambria Math" panose="02040503050406030204" pitchFamily="18" charset="0"/>
                          </a:rPr>
                          <m:t>𝛽</m:t>
                        </m:r>
                      </m:e>
                      <m:sub>
                        <m:r>
                          <a:rPr lang="it-IT" b="0" i="1">
                            <a:latin typeface="Cambria Math" panose="02040503050406030204" pitchFamily="18" charset="0"/>
                          </a:rPr>
                          <m:t>𝑢</m:t>
                        </m:r>
                      </m:sub>
                    </m:sSub>
                    <m:r>
                      <a:rPr lang="it-IT" b="0" i="1">
                        <a:latin typeface="Cambria Math" panose="02040503050406030204" pitchFamily="18" charset="0"/>
                      </a:rPr>
                      <m:t>∗</m:t>
                    </m:r>
                    <m:r>
                      <a:rPr lang="it-IT" b="0" i="1">
                        <a:latin typeface="Cambria Math" panose="02040503050406030204" pitchFamily="18" charset="0"/>
                      </a:rPr>
                      <m:t>𝑚𝑎𝑟𝑘𝑒𝑡</m:t>
                    </m:r>
                    <m:r>
                      <a:rPr lang="it-IT" b="0" i="1">
                        <a:latin typeface="Cambria Math" panose="02040503050406030204" pitchFamily="18" charset="0"/>
                      </a:rPr>
                      <m:t> </m:t>
                    </m:r>
                    <m:r>
                      <a:rPr lang="it-IT" b="0" i="1">
                        <a:latin typeface="Cambria Math" panose="02040503050406030204" pitchFamily="18" charset="0"/>
                      </a:rPr>
                      <m:t>𝑟𝑖𝑠𝑘</m:t>
                    </m:r>
                    <m:r>
                      <a:rPr lang="it-IT" b="0" i="1">
                        <a:latin typeface="Cambria Math" panose="02040503050406030204" pitchFamily="18" charset="0"/>
                      </a:rPr>
                      <m:t> </m:t>
                    </m:r>
                    <m:r>
                      <a:rPr lang="it-IT" b="0" i="1">
                        <a:latin typeface="Cambria Math" panose="02040503050406030204" pitchFamily="18" charset="0"/>
                      </a:rPr>
                      <m:t>𝑝𝑟𝑒𝑚𝑖𝑢𝑚</m:t>
                    </m:r>
                    <m:r>
                      <a:rPr lang="it-IT" b="0" i="1">
                        <a:latin typeface="Cambria Math" panose="02040503050406030204" pitchFamily="18" charset="0"/>
                      </a:rPr>
                      <m:t>  </m:t>
                    </m:r>
                  </m:oMath>
                </m:oMathPara>
              </a14:m>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a:t>
              </a:r>
              <a:r>
                <a:rPr lang="en-GB" baseline="0">
                  <a:latin typeface="Arial" panose="020B0604020202020204" pitchFamily="34" charset="0"/>
                  <a:cs typeface="Arial" panose="020B0604020202020204" pitchFamily="34" charset="0"/>
                </a:rPr>
                <a:t> r(u) unlevered cost of capital is calculated using t</a:t>
              </a:r>
              <a:r>
                <a:rPr lang="en-GB">
                  <a:latin typeface="Arial" panose="020B0604020202020204" pitchFamily="34" charset="0"/>
                  <a:cs typeface="Arial" panose="020B0604020202020204" pitchFamily="34" charset="0"/>
                </a:rPr>
                <a:t>he unlevered beta of</a:t>
              </a:r>
              <a:r>
                <a:rPr lang="en-GB" baseline="0">
                  <a:latin typeface="Arial" panose="020B0604020202020204" pitchFamily="34" charset="0"/>
                  <a:cs typeface="Arial" panose="020B0604020202020204" pitchFamily="34" charset="0"/>
                </a:rPr>
                <a:t> Douglas's prospectus (1,00).</a:t>
              </a:r>
              <a:endParaRPr lang="en-GB" i="1" u="sng">
                <a:latin typeface="Arial" panose="020B0604020202020204" pitchFamily="34" charset="0"/>
                <a:cs typeface="Arial" panose="020B0604020202020204" pitchFamily="34" charset="0"/>
              </a:endParaRPr>
            </a:p>
          </xdr:txBody>
        </xdr:sp>
      </mc:Choice>
      <mc:Fallback xmlns="">
        <xdr:sp macro="" textlink="">
          <xdr:nvSpPr>
            <xdr:cNvPr id="11" name="Rectangle 2">
              <a:extLst>
                <a:ext uri="{FF2B5EF4-FFF2-40B4-BE49-F238E27FC236}">
                  <a16:creationId xmlns:a16="http://schemas.microsoft.com/office/drawing/2014/main" id="{6F8897E2-1347-7743-B638-325D7894D6B6}"/>
                </a:ext>
              </a:extLst>
            </xdr:cNvPr>
            <xdr:cNvSpPr/>
          </xdr:nvSpPr>
          <xdr:spPr>
            <a:xfrm>
              <a:off x="13999353" y="1015793"/>
              <a:ext cx="5893463" cy="9859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it-IT" b="0" i="0">
                  <a:latin typeface="Cambria Math" panose="02040503050406030204" pitchFamily="18" charset="0"/>
                </a:rPr>
                <a:t>𝑟</a:t>
              </a:r>
              <a:r>
                <a:rPr lang="en-GB" b="0" i="0">
                  <a:latin typeface="Cambria Math" panose="02040503050406030204" pitchFamily="18" charset="0"/>
                </a:rPr>
                <a:t>_</a:t>
              </a:r>
              <a:r>
                <a:rPr lang="it-IT" b="0" i="0">
                  <a:latin typeface="Cambria Math" panose="02040503050406030204" pitchFamily="18" charset="0"/>
                </a:rPr>
                <a:t>𝑢=𝑟_𝑓+</a:t>
              </a:r>
              <a:r>
                <a:rPr lang="it-IT" b="0" i="0">
                  <a:latin typeface="Cambria Math" panose="02040503050406030204" pitchFamily="18" charset="0"/>
                  <a:ea typeface="Cambria Math" panose="02040503050406030204" pitchFamily="18" charset="0"/>
                </a:rPr>
                <a:t>𝛽_</a:t>
              </a:r>
              <a:r>
                <a:rPr lang="it-IT" b="0" i="0">
                  <a:latin typeface="Cambria Math" panose="02040503050406030204" pitchFamily="18" charset="0"/>
                </a:rPr>
                <a:t>𝑢∗𝑚𝑎𝑟𝑘𝑒𝑡 𝑟𝑖𝑠𝑘 𝑝𝑟𝑒𝑚𝑖𝑢𝑚  </a:t>
              </a:r>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a:t>
              </a:r>
              <a:r>
                <a:rPr lang="en-GB" baseline="0">
                  <a:latin typeface="Arial" panose="020B0604020202020204" pitchFamily="34" charset="0"/>
                  <a:cs typeface="Arial" panose="020B0604020202020204" pitchFamily="34" charset="0"/>
                </a:rPr>
                <a:t> r(u) unlevered cost of capital is calculated using t</a:t>
              </a:r>
              <a:r>
                <a:rPr lang="en-GB">
                  <a:latin typeface="Arial" panose="020B0604020202020204" pitchFamily="34" charset="0"/>
                  <a:cs typeface="Arial" panose="020B0604020202020204" pitchFamily="34" charset="0"/>
                </a:rPr>
                <a:t>he unlevered beta of</a:t>
              </a:r>
              <a:r>
                <a:rPr lang="en-GB" baseline="0">
                  <a:latin typeface="Arial" panose="020B0604020202020204" pitchFamily="34" charset="0"/>
                  <a:cs typeface="Arial" panose="020B0604020202020204" pitchFamily="34" charset="0"/>
                </a:rPr>
                <a:t> Douglas's prospectus (1,00).</a:t>
              </a:r>
              <a:endParaRPr lang="en-GB" i="1" u="sng">
                <a:latin typeface="Arial" panose="020B0604020202020204" pitchFamily="34" charset="0"/>
                <a:cs typeface="Arial" panose="020B0604020202020204" pitchFamily="34" charset="0"/>
              </a:endParaRPr>
            </a:p>
          </xdr:txBody>
        </xdr:sp>
      </mc:Fallback>
    </mc:AlternateContent>
    <xdr:clientData/>
  </xdr:twoCellAnchor>
  <xdr:twoCellAnchor>
    <xdr:from>
      <xdr:col>9</xdr:col>
      <xdr:colOff>0</xdr:colOff>
      <xdr:row>17</xdr:row>
      <xdr:rowOff>83736</xdr:rowOff>
    </xdr:from>
    <xdr:to>
      <xdr:col>9</xdr:col>
      <xdr:colOff>734291</xdr:colOff>
      <xdr:row>20</xdr:row>
      <xdr:rowOff>132530</xdr:rowOff>
    </xdr:to>
    <xdr:cxnSp macro="">
      <xdr:nvCxnSpPr>
        <xdr:cNvPr id="332" name="Straight Connector 24">
          <a:extLst>
            <a:ext uri="{FF2B5EF4-FFF2-40B4-BE49-F238E27FC236}">
              <a16:creationId xmlns:a16="http://schemas.microsoft.com/office/drawing/2014/main" id="{6D96AB8D-85E7-CF44-90A2-596CD04FEC55}"/>
            </a:ext>
          </a:extLst>
        </xdr:cNvPr>
        <xdr:cNvCxnSpPr/>
      </xdr:nvCxnSpPr>
      <xdr:spPr>
        <a:xfrm>
          <a:off x="11569560" y="3419231"/>
          <a:ext cx="734291" cy="63494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676378</xdr:colOff>
      <xdr:row>20</xdr:row>
      <xdr:rowOff>24161</xdr:rowOff>
    </xdr:from>
    <xdr:to>
      <xdr:col>14</xdr:col>
      <xdr:colOff>127000</xdr:colOff>
      <xdr:row>22</xdr:row>
      <xdr:rowOff>38101</xdr:rowOff>
    </xdr:to>
    <xdr:sp macro="" textlink="">
      <xdr:nvSpPr>
        <xdr:cNvPr id="274" name="Rectangle 2">
          <a:extLst>
            <a:ext uri="{FF2B5EF4-FFF2-40B4-BE49-F238E27FC236}">
              <a16:creationId xmlns:a16="http://schemas.microsoft.com/office/drawing/2014/main" id="{89C0A566-BD4A-3544-88B6-E4D64FE87A00}"/>
            </a:ext>
          </a:extLst>
        </xdr:cNvPr>
        <xdr:cNvSpPr/>
      </xdr:nvSpPr>
      <xdr:spPr>
        <a:xfrm>
          <a:off x="12233378" y="3859561"/>
          <a:ext cx="3832122" cy="39494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We</a:t>
          </a:r>
          <a:r>
            <a:rPr lang="en-GB" baseline="0">
              <a:latin typeface="Arial" panose="020B0604020202020204" pitchFamily="34" charset="0"/>
              <a:cs typeface="Arial" panose="020B0604020202020204" pitchFamily="34" charset="0"/>
            </a:rPr>
            <a:t> assume that Douglas's Debt is constant overtime. </a:t>
          </a:r>
        </a:p>
      </xdr:txBody>
    </xdr:sp>
    <xdr:clientData/>
  </xdr:twoCellAnchor>
  <xdr:twoCellAnchor>
    <xdr:from>
      <xdr:col>4</xdr:col>
      <xdr:colOff>83318</xdr:colOff>
      <xdr:row>22</xdr:row>
      <xdr:rowOff>81754</xdr:rowOff>
    </xdr:from>
    <xdr:to>
      <xdr:col>8</xdr:col>
      <xdr:colOff>825500</xdr:colOff>
      <xdr:row>24</xdr:row>
      <xdr:rowOff>152400</xdr:rowOff>
    </xdr:to>
    <xdr:sp macro="" textlink="">
      <xdr:nvSpPr>
        <xdr:cNvPr id="330" name="Rectangle 2">
          <a:extLst>
            <a:ext uri="{FF2B5EF4-FFF2-40B4-BE49-F238E27FC236}">
              <a16:creationId xmlns:a16="http://schemas.microsoft.com/office/drawing/2014/main" id="{F0028297-4F8A-9A45-9766-E9F036D7C2BD}"/>
            </a:ext>
          </a:extLst>
        </xdr:cNvPr>
        <xdr:cNvSpPr/>
      </xdr:nvSpPr>
      <xdr:spPr>
        <a:xfrm>
          <a:off x="5887218" y="4298154"/>
          <a:ext cx="5263382" cy="46434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 tax shield is valued as a growing perpetuity,</a:t>
          </a:r>
          <a:r>
            <a:rPr lang="en-GB" baseline="0">
              <a:latin typeface="Arial" panose="020B0604020202020204" pitchFamily="34" charset="0"/>
              <a:cs typeface="Arial" panose="020B0604020202020204" pitchFamily="34" charset="0"/>
            </a:rPr>
            <a:t> therefore i</a:t>
          </a:r>
          <a:r>
            <a:rPr lang="en-GB">
              <a:latin typeface="Arial" panose="020B0604020202020204" pitchFamily="34" charset="0"/>
              <a:cs typeface="Arial" panose="020B0604020202020204" pitchFamily="34" charset="0"/>
            </a:rPr>
            <a:t>t is</a:t>
          </a: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 discounted at (𝑟</a:t>
          </a:r>
          <a:r>
            <a:rPr lang="en-GB" baseline="0">
              <a:latin typeface="Arial" panose="020B0604020202020204" pitchFamily="34" charset="0"/>
              <a:cs typeface="Arial" panose="020B0604020202020204" pitchFamily="34" charset="0"/>
            </a:rPr>
            <a:t> </a:t>
          </a:r>
          <a:r>
            <a:rPr lang="en-GB">
              <a:latin typeface="Arial" panose="020B0604020202020204" pitchFamily="34" charset="0"/>
              <a:cs typeface="Arial" panose="020B0604020202020204" pitchFamily="34" charset="0"/>
            </a:rPr>
            <a:t>− 𝑔) because both debt and tax shield grow at rate g.</a:t>
          </a:r>
        </a:p>
      </xdr:txBody>
    </xdr:sp>
    <xdr:clientData/>
  </xdr:twoCellAnchor>
  <xdr:twoCellAnchor>
    <xdr:from>
      <xdr:col>2</xdr:col>
      <xdr:colOff>1320660</xdr:colOff>
      <xdr:row>22</xdr:row>
      <xdr:rowOff>79131</xdr:rowOff>
    </xdr:from>
    <xdr:to>
      <xdr:col>4</xdr:col>
      <xdr:colOff>83318</xdr:colOff>
      <xdr:row>23</xdr:row>
      <xdr:rowOff>123427</xdr:rowOff>
    </xdr:to>
    <xdr:cxnSp macro="">
      <xdr:nvCxnSpPr>
        <xdr:cNvPr id="335" name="Straight Connector 24">
          <a:extLst>
            <a:ext uri="{FF2B5EF4-FFF2-40B4-BE49-F238E27FC236}">
              <a16:creationId xmlns:a16="http://schemas.microsoft.com/office/drawing/2014/main" id="{EF06CBAD-8533-F246-9245-D33484146568}"/>
            </a:ext>
          </a:extLst>
        </xdr:cNvPr>
        <xdr:cNvCxnSpPr>
          <a:endCxn id="330" idx="1"/>
        </xdr:cNvCxnSpPr>
      </xdr:nvCxnSpPr>
      <xdr:spPr>
        <a:xfrm>
          <a:off x="4775060" y="4295531"/>
          <a:ext cx="1112158" cy="23479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14</xdr:row>
      <xdr:rowOff>0</xdr:rowOff>
    </xdr:from>
    <xdr:to>
      <xdr:col>12</xdr:col>
      <xdr:colOff>762000</xdr:colOff>
      <xdr:row>16</xdr:row>
      <xdr:rowOff>118534</xdr:rowOff>
    </xdr:to>
    <xdr:cxnSp macro="">
      <xdr:nvCxnSpPr>
        <xdr:cNvPr id="16" name="Straight Connector 1">
          <a:extLst>
            <a:ext uri="{FF2B5EF4-FFF2-40B4-BE49-F238E27FC236}">
              <a16:creationId xmlns:a16="http://schemas.microsoft.com/office/drawing/2014/main" id="{E975A3DE-0ABB-5E41-A9EF-10DC86580214}"/>
            </a:ext>
          </a:extLst>
        </xdr:cNvPr>
        <xdr:cNvCxnSpPr/>
      </xdr:nvCxnSpPr>
      <xdr:spPr>
        <a:xfrm flipV="1">
          <a:off x="13309600" y="1727200"/>
          <a:ext cx="762000" cy="4995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723206</xdr:colOff>
      <xdr:row>9</xdr:row>
      <xdr:rowOff>49160</xdr:rowOff>
    </xdr:from>
    <xdr:to>
      <xdr:col>20</xdr:col>
      <xdr:colOff>575733</xdr:colOff>
      <xdr:row>15</xdr:row>
      <xdr:rowOff>166933</xdr:rowOff>
    </xdr:to>
    <mc:AlternateContent xmlns:mc="http://schemas.openxmlformats.org/markup-compatibility/2006" xmlns:a14="http://schemas.microsoft.com/office/drawing/2010/main">
      <mc:Choice Requires="a14">
        <xdr:sp macro="" textlink="">
          <xdr:nvSpPr>
            <xdr:cNvPr id="6" name="Rectangle 2">
              <a:extLst>
                <a:ext uri="{FF2B5EF4-FFF2-40B4-BE49-F238E27FC236}">
                  <a16:creationId xmlns:a16="http://schemas.microsoft.com/office/drawing/2014/main" id="{D0D9C3BE-8278-4045-8FE1-B46EADC38AE7}"/>
                </a:ext>
              </a:extLst>
            </xdr:cNvPr>
            <xdr:cNvSpPr/>
          </xdr:nvSpPr>
          <xdr:spPr>
            <a:xfrm>
              <a:off x="11814539" y="1928760"/>
              <a:ext cx="6490394" cy="1252306"/>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sSub>
                      <m:sSubPr>
                        <m:ctrlPr>
                          <a:rPr lang="it-IT" b="0" i="1">
                            <a:latin typeface="Cambria Math" panose="02040503050406030204" pitchFamily="18" charset="0"/>
                          </a:rPr>
                        </m:ctrlPr>
                      </m:sSubPr>
                      <m:e>
                        <m:r>
                          <a:rPr lang="it-IT" b="0" i="1">
                            <a:latin typeface="Cambria Math" panose="02040503050406030204" pitchFamily="18" charset="0"/>
                          </a:rPr>
                          <m:t>𝑟</m:t>
                        </m:r>
                      </m:e>
                      <m:sub>
                        <m:r>
                          <a:rPr lang="it-IT" b="0" i="1">
                            <a:latin typeface="Cambria Math" panose="02040503050406030204" pitchFamily="18" charset="0"/>
                          </a:rPr>
                          <m:t>𝑢</m:t>
                        </m:r>
                      </m:sub>
                    </m:sSub>
                    <m:r>
                      <a:rPr lang="it-IT" b="0" i="1">
                        <a:latin typeface="Cambria Math" panose="02040503050406030204" pitchFamily="18" charset="0"/>
                      </a:rPr>
                      <m:t>=</m:t>
                    </m:r>
                    <m:sSub>
                      <m:sSubPr>
                        <m:ctrlPr>
                          <a:rPr lang="it-IT" b="0" i="1">
                            <a:latin typeface="Cambria Math" panose="02040503050406030204" pitchFamily="18" charset="0"/>
                          </a:rPr>
                        </m:ctrlPr>
                      </m:sSubPr>
                      <m:e>
                        <m:r>
                          <a:rPr lang="it-IT" b="0" i="1">
                            <a:latin typeface="Cambria Math" panose="02040503050406030204" pitchFamily="18" charset="0"/>
                          </a:rPr>
                          <m:t>𝑟</m:t>
                        </m:r>
                      </m:e>
                      <m:sub>
                        <m:r>
                          <a:rPr lang="it-IT" b="0" i="1">
                            <a:latin typeface="Cambria Math" panose="02040503050406030204" pitchFamily="18" charset="0"/>
                          </a:rPr>
                          <m:t>𝑓</m:t>
                        </m:r>
                      </m:sub>
                    </m:sSub>
                    <m:r>
                      <a:rPr lang="it-IT" b="0" i="1">
                        <a:latin typeface="Cambria Math" panose="02040503050406030204" pitchFamily="18" charset="0"/>
                      </a:rPr>
                      <m:t>+</m:t>
                    </m:r>
                    <m:sSub>
                      <m:sSubPr>
                        <m:ctrlPr>
                          <a:rPr lang="it-IT" b="0" i="1">
                            <a:latin typeface="Cambria Math" panose="02040503050406030204" pitchFamily="18" charset="0"/>
                            <a:ea typeface="Cambria Math" panose="02040503050406030204" pitchFamily="18" charset="0"/>
                          </a:rPr>
                        </m:ctrlPr>
                      </m:sSubPr>
                      <m:e>
                        <m:r>
                          <a:rPr lang="it-IT" b="0" i="1">
                            <a:latin typeface="Cambria Math" panose="02040503050406030204" pitchFamily="18" charset="0"/>
                            <a:ea typeface="Cambria Math" panose="02040503050406030204" pitchFamily="18" charset="0"/>
                          </a:rPr>
                          <m:t>𝛽</m:t>
                        </m:r>
                      </m:e>
                      <m:sub>
                        <m:r>
                          <a:rPr lang="it-IT" b="0" i="1">
                            <a:latin typeface="Cambria Math" panose="02040503050406030204" pitchFamily="18" charset="0"/>
                          </a:rPr>
                          <m:t>𝑢</m:t>
                        </m:r>
                      </m:sub>
                    </m:sSub>
                    <m:r>
                      <a:rPr lang="it-IT" b="0" i="1">
                        <a:latin typeface="Cambria Math" panose="02040503050406030204" pitchFamily="18" charset="0"/>
                      </a:rPr>
                      <m:t>∗</m:t>
                    </m:r>
                    <m:r>
                      <a:rPr lang="it-IT" b="0" i="1">
                        <a:latin typeface="Cambria Math" panose="02040503050406030204" pitchFamily="18" charset="0"/>
                      </a:rPr>
                      <m:t>𝑚𝑎𝑟𝑘𝑒𝑡</m:t>
                    </m:r>
                    <m:r>
                      <a:rPr lang="it-IT" b="0" i="1">
                        <a:latin typeface="Cambria Math" panose="02040503050406030204" pitchFamily="18" charset="0"/>
                      </a:rPr>
                      <m:t> </m:t>
                    </m:r>
                    <m:r>
                      <a:rPr lang="it-IT" b="0" i="1">
                        <a:latin typeface="Cambria Math" panose="02040503050406030204" pitchFamily="18" charset="0"/>
                      </a:rPr>
                      <m:t>𝑟𝑖𝑠𝑘</m:t>
                    </m:r>
                    <m:r>
                      <a:rPr lang="it-IT" b="0" i="1">
                        <a:latin typeface="Cambria Math" panose="02040503050406030204" pitchFamily="18" charset="0"/>
                      </a:rPr>
                      <m:t> </m:t>
                    </m:r>
                    <m:r>
                      <a:rPr lang="it-IT" b="0" i="1">
                        <a:latin typeface="Cambria Math" panose="02040503050406030204" pitchFamily="18" charset="0"/>
                      </a:rPr>
                      <m:t>𝑝𝑟𝑒𝑚𝑖𝑢𝑚</m:t>
                    </m:r>
                    <m:r>
                      <a:rPr lang="it-IT" b="0" i="1">
                        <a:latin typeface="Cambria Math" panose="02040503050406030204" pitchFamily="18" charset="0"/>
                      </a:rPr>
                      <m:t>  </m:t>
                    </m:r>
                  </m:oMath>
                </m:oMathPara>
              </a14:m>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a:t>
              </a:r>
              <a:r>
                <a:rPr lang="en-GB" baseline="0">
                  <a:latin typeface="Arial" panose="020B0604020202020204" pitchFamily="34" charset="0"/>
                  <a:cs typeface="Arial" panose="020B0604020202020204" pitchFamily="34" charset="0"/>
                </a:rPr>
                <a:t> r(u) unlevered cost of capital has been calculated with th</a:t>
              </a:r>
              <a:r>
                <a:rPr lang="en-GB">
                  <a:latin typeface="Arial" panose="020B0604020202020204" pitchFamily="34" charset="0"/>
                  <a:cs typeface="Arial" panose="020B0604020202020204" pitchFamily="34" charset="0"/>
                </a:rPr>
                <a:t>e unlevered beta taken from Damodaran’s January 2024 dataset (1,32), which reports the unlevered beta for the </a:t>
              </a:r>
            </a:p>
            <a:p>
              <a:pPr marL="0" marR="0" lvl="0" indent="0" algn="ctr" defTabSz="914400" eaLnBrk="1" fontAlgn="auto" latinLnBrk="0" hangingPunct="1">
                <a:lnSpc>
                  <a:spcPct val="100000"/>
                </a:lnSpc>
                <a:spcBef>
                  <a:spcPts val="0"/>
                </a:spcBef>
                <a:spcAft>
                  <a:spcPts val="0"/>
                </a:spcAft>
                <a:buClrTx/>
                <a:buSzTx/>
                <a:buFontTx/>
                <a:buNone/>
                <a:tabLst/>
                <a:defRPr/>
              </a:pPr>
              <a:r>
                <a:rPr lang="en-GB" b="1">
                  <a:latin typeface="Arial" panose="020B0604020202020204" pitchFamily="34" charset="0"/>
                  <a:cs typeface="Arial" panose="020B0604020202020204" pitchFamily="34" charset="0"/>
                </a:rPr>
                <a:t>Retail</a:t>
              </a:r>
              <a:r>
                <a:rPr lang="en-GB" b="1" baseline="0">
                  <a:latin typeface="Arial" panose="020B0604020202020204" pitchFamily="34" charset="0"/>
                  <a:cs typeface="Arial" panose="020B0604020202020204" pitchFamily="34" charset="0"/>
                </a:rPr>
                <a:t> - </a:t>
              </a:r>
              <a:r>
                <a:rPr lang="en-GB" b="1">
                  <a:latin typeface="Arial" panose="020B0604020202020204" pitchFamily="34" charset="0"/>
                  <a:cs typeface="Arial" panose="020B0604020202020204" pitchFamily="34" charset="0"/>
                </a:rPr>
                <a:t>Special Lines</a:t>
              </a:r>
              <a:r>
                <a:rPr lang="en-GB">
                  <a:latin typeface="Arial" panose="020B0604020202020204" pitchFamily="34" charset="0"/>
                  <a:cs typeface="Arial" panose="020B0604020202020204" pitchFamily="34" charset="0"/>
                </a:rPr>
                <a:t> sector.</a:t>
              </a: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Retrieved from </a:t>
              </a:r>
              <a:r>
                <a:rPr lang="en-GB" i="1" u="sng">
                  <a:latin typeface="Arial" panose="020B0604020202020204" pitchFamily="34" charset="0"/>
                  <a:cs typeface="Arial" panose="020B0604020202020204" pitchFamily="34" charset="0"/>
                </a:rPr>
                <a:t>https://pages.stern.nyu.edu/~adamodar/pc/archives/betaEurope23.xls</a:t>
              </a:r>
            </a:p>
          </xdr:txBody>
        </xdr:sp>
      </mc:Choice>
      <mc:Fallback xmlns="">
        <xdr:sp macro="" textlink="">
          <xdr:nvSpPr>
            <xdr:cNvPr id="35" name="Rectangle 2">
              <a:extLst>
                <a:ext uri="{FF2B5EF4-FFF2-40B4-BE49-F238E27FC236}">
                  <a16:creationId xmlns:a16="http://schemas.microsoft.com/office/drawing/2014/main" id="{D0D9C3BE-8278-4045-8FE1-B46EADC38AE7}"/>
                </a:ext>
              </a:extLst>
            </xdr:cNvPr>
            <xdr:cNvSpPr/>
          </xdr:nvSpPr>
          <xdr:spPr>
            <a:xfrm>
              <a:off x="11814539" y="1928760"/>
              <a:ext cx="6490394" cy="1252306"/>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it-IT" b="0" i="0">
                  <a:latin typeface="Cambria Math" panose="02040503050406030204" pitchFamily="18" charset="0"/>
                </a:rPr>
                <a:t>𝑟</a:t>
              </a:r>
              <a:r>
                <a:rPr lang="en-GB" b="0" i="0">
                  <a:latin typeface="Cambria Math" panose="02040503050406030204" pitchFamily="18" charset="0"/>
                </a:rPr>
                <a:t>_</a:t>
              </a:r>
              <a:r>
                <a:rPr lang="it-IT" b="0" i="0">
                  <a:latin typeface="Cambria Math" panose="02040503050406030204" pitchFamily="18" charset="0"/>
                </a:rPr>
                <a:t>𝑢=𝑟_𝑓+</a:t>
              </a:r>
              <a:r>
                <a:rPr lang="it-IT" b="0" i="0">
                  <a:latin typeface="Cambria Math" panose="02040503050406030204" pitchFamily="18" charset="0"/>
                  <a:ea typeface="Cambria Math" panose="02040503050406030204" pitchFamily="18" charset="0"/>
                </a:rPr>
                <a:t>𝛽_</a:t>
              </a:r>
              <a:r>
                <a:rPr lang="it-IT" b="0" i="0">
                  <a:latin typeface="Cambria Math" panose="02040503050406030204" pitchFamily="18" charset="0"/>
                </a:rPr>
                <a:t>𝑢∗𝑚𝑎𝑟𝑘𝑒𝑡 𝑟𝑖𝑠𝑘 𝑝𝑟𝑒𝑚𝑖𝑢𝑚  </a:t>
              </a:r>
              <a:endParaRPr lang="en-GB">
                <a:latin typeface="Arial" panose="020B0604020202020204" pitchFamily="34"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a:t>
              </a:r>
              <a:r>
                <a:rPr lang="en-GB" baseline="0">
                  <a:latin typeface="Arial" panose="020B0604020202020204" pitchFamily="34" charset="0"/>
                  <a:cs typeface="Arial" panose="020B0604020202020204" pitchFamily="34" charset="0"/>
                </a:rPr>
                <a:t> r(u) unlevered cost of capital has been calculated with th</a:t>
              </a:r>
              <a:r>
                <a:rPr lang="en-GB">
                  <a:latin typeface="Arial" panose="020B0604020202020204" pitchFamily="34" charset="0"/>
                  <a:cs typeface="Arial" panose="020B0604020202020204" pitchFamily="34" charset="0"/>
                </a:rPr>
                <a:t>e unlevered beta taken from Damodaran’s January 2024 dataset (1,32), which reports the unlevered beta for the </a:t>
              </a:r>
            </a:p>
            <a:p>
              <a:pPr marL="0" marR="0" lvl="0" indent="0" algn="ctr" defTabSz="914400" eaLnBrk="1" fontAlgn="auto" latinLnBrk="0" hangingPunct="1">
                <a:lnSpc>
                  <a:spcPct val="100000"/>
                </a:lnSpc>
                <a:spcBef>
                  <a:spcPts val="0"/>
                </a:spcBef>
                <a:spcAft>
                  <a:spcPts val="0"/>
                </a:spcAft>
                <a:buClrTx/>
                <a:buSzTx/>
                <a:buFontTx/>
                <a:buNone/>
                <a:tabLst/>
                <a:defRPr/>
              </a:pPr>
              <a:r>
                <a:rPr lang="en-GB" b="1">
                  <a:latin typeface="Arial" panose="020B0604020202020204" pitchFamily="34" charset="0"/>
                  <a:cs typeface="Arial" panose="020B0604020202020204" pitchFamily="34" charset="0"/>
                </a:rPr>
                <a:t>Retail</a:t>
              </a:r>
              <a:r>
                <a:rPr lang="en-GB" b="1" baseline="0">
                  <a:latin typeface="Arial" panose="020B0604020202020204" pitchFamily="34" charset="0"/>
                  <a:cs typeface="Arial" panose="020B0604020202020204" pitchFamily="34" charset="0"/>
                </a:rPr>
                <a:t> - </a:t>
              </a:r>
              <a:r>
                <a:rPr lang="en-GB" b="1">
                  <a:latin typeface="Arial" panose="020B0604020202020204" pitchFamily="34" charset="0"/>
                  <a:cs typeface="Arial" panose="020B0604020202020204" pitchFamily="34" charset="0"/>
                </a:rPr>
                <a:t>Special Lines</a:t>
              </a:r>
              <a:r>
                <a:rPr lang="en-GB">
                  <a:latin typeface="Arial" panose="020B0604020202020204" pitchFamily="34" charset="0"/>
                  <a:cs typeface="Arial" panose="020B0604020202020204" pitchFamily="34" charset="0"/>
                </a:rPr>
                <a:t> sector.</a:t>
              </a: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Retrieved from </a:t>
              </a:r>
              <a:r>
                <a:rPr lang="en-GB" i="1" u="sng">
                  <a:latin typeface="Arial" panose="020B0604020202020204" pitchFamily="34" charset="0"/>
                  <a:cs typeface="Arial" panose="020B0604020202020204" pitchFamily="34" charset="0"/>
                </a:rPr>
                <a:t>https://pages.stern.nyu.edu/~adamodar/pc/archives/betaEurope23.xls</a:t>
              </a:r>
            </a:p>
          </xdr:txBody>
        </xdr:sp>
      </mc:Fallback>
    </mc:AlternateContent>
    <xdr:clientData/>
  </xdr:twoCellAnchor>
  <xdr:twoCellAnchor>
    <xdr:from>
      <xdr:col>10</xdr:col>
      <xdr:colOff>0</xdr:colOff>
      <xdr:row>22</xdr:row>
      <xdr:rowOff>83736</xdr:rowOff>
    </xdr:from>
    <xdr:to>
      <xdr:col>10</xdr:col>
      <xdr:colOff>734291</xdr:colOff>
      <xdr:row>25</xdr:row>
      <xdr:rowOff>132530</xdr:rowOff>
    </xdr:to>
    <xdr:cxnSp macro="">
      <xdr:nvCxnSpPr>
        <xdr:cNvPr id="17" name="Straight Connector 3">
          <a:extLst>
            <a:ext uri="{FF2B5EF4-FFF2-40B4-BE49-F238E27FC236}">
              <a16:creationId xmlns:a16="http://schemas.microsoft.com/office/drawing/2014/main" id="{14EAFE3D-C921-9748-8E0A-A9151F2E28C9}"/>
            </a:ext>
          </a:extLst>
        </xdr:cNvPr>
        <xdr:cNvCxnSpPr/>
      </xdr:nvCxnSpPr>
      <xdr:spPr>
        <a:xfrm>
          <a:off x="11557000" y="3347636"/>
          <a:ext cx="734291" cy="6202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663678</xdr:colOff>
      <xdr:row>24</xdr:row>
      <xdr:rowOff>151161</xdr:rowOff>
    </xdr:from>
    <xdr:to>
      <xdr:col>14</xdr:col>
      <xdr:colOff>823470</xdr:colOff>
      <xdr:row>26</xdr:row>
      <xdr:rowOff>88605</xdr:rowOff>
    </xdr:to>
    <xdr:sp macro="" textlink="">
      <xdr:nvSpPr>
        <xdr:cNvPr id="15" name="Rectangle 2">
          <a:extLst>
            <a:ext uri="{FF2B5EF4-FFF2-40B4-BE49-F238E27FC236}">
              <a16:creationId xmlns:a16="http://schemas.microsoft.com/office/drawing/2014/main" id="{0FE2EFF1-0834-6B46-915E-311122CD754C}"/>
            </a:ext>
          </a:extLst>
        </xdr:cNvPr>
        <xdr:cNvSpPr/>
      </xdr:nvSpPr>
      <xdr:spPr>
        <a:xfrm>
          <a:off x="12220678" y="3796061"/>
          <a:ext cx="3664992" cy="31844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We</a:t>
          </a:r>
          <a:r>
            <a:rPr lang="en-GB" baseline="0">
              <a:latin typeface="Arial" panose="020B0604020202020204" pitchFamily="34" charset="0"/>
              <a:cs typeface="Arial" panose="020B0604020202020204" pitchFamily="34" charset="0"/>
            </a:rPr>
            <a:t> assume that Douglas's Debt is constant overtime. As a consequence, we will conduct the analysis with a perpetuity</a:t>
          </a:r>
          <a:endParaRPr lang="en-GB">
            <a:latin typeface="Arial" panose="020B0604020202020204" pitchFamily="34" charset="0"/>
            <a:cs typeface="Arial" panose="020B0604020202020204" pitchFamily="34" charset="0"/>
          </a:endParaRPr>
        </a:p>
      </xdr:txBody>
    </xdr:sp>
    <xdr:clientData/>
  </xdr:twoCellAnchor>
  <xdr:twoCellAnchor>
    <xdr:from>
      <xdr:col>5</xdr:col>
      <xdr:colOff>302244</xdr:colOff>
      <xdr:row>27</xdr:row>
      <xdr:rowOff>91523</xdr:rowOff>
    </xdr:from>
    <xdr:to>
      <xdr:col>11</xdr:col>
      <xdr:colOff>608585</xdr:colOff>
      <xdr:row>29</xdr:row>
      <xdr:rowOff>170828</xdr:rowOff>
    </xdr:to>
    <xdr:sp macro="" textlink="">
      <xdr:nvSpPr>
        <xdr:cNvPr id="38" name="Rectangle 2">
          <a:extLst>
            <a:ext uri="{FF2B5EF4-FFF2-40B4-BE49-F238E27FC236}">
              <a16:creationId xmlns:a16="http://schemas.microsoft.com/office/drawing/2014/main" id="{1D5E7E78-0CF6-7446-A484-E3F50B47B920}"/>
            </a:ext>
          </a:extLst>
        </xdr:cNvPr>
        <xdr:cNvSpPr/>
      </xdr:nvSpPr>
      <xdr:spPr>
        <a:xfrm>
          <a:off x="5572744" y="5273123"/>
          <a:ext cx="5259341" cy="46030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The tax shield is valued as a growing perpetuity,</a:t>
          </a:r>
          <a:r>
            <a:rPr lang="en-GB" baseline="0">
              <a:latin typeface="Arial" panose="020B0604020202020204" pitchFamily="34" charset="0"/>
              <a:cs typeface="Arial" panose="020B0604020202020204" pitchFamily="34" charset="0"/>
            </a:rPr>
            <a:t> therefore i</a:t>
          </a:r>
          <a:r>
            <a:rPr lang="en-GB">
              <a:latin typeface="Arial" panose="020B0604020202020204" pitchFamily="34" charset="0"/>
              <a:cs typeface="Arial" panose="020B0604020202020204" pitchFamily="34" charset="0"/>
            </a:rPr>
            <a:t>t is</a:t>
          </a:r>
        </a:p>
        <a:p>
          <a:pPr marL="0" marR="0" lvl="0" indent="0" algn="ctr" defTabSz="914400" eaLnBrk="1" fontAlgn="auto" latinLnBrk="0" hangingPunct="1">
            <a:lnSpc>
              <a:spcPct val="100000"/>
            </a:lnSpc>
            <a:spcBef>
              <a:spcPts val="0"/>
            </a:spcBef>
            <a:spcAft>
              <a:spcPts val="0"/>
            </a:spcAft>
            <a:buClrTx/>
            <a:buSzTx/>
            <a:buFontTx/>
            <a:buNone/>
            <a:tabLst/>
            <a:defRPr/>
          </a:pPr>
          <a:r>
            <a:rPr lang="en-GB">
              <a:latin typeface="Arial" panose="020B0604020202020204" pitchFamily="34" charset="0"/>
              <a:cs typeface="Arial" panose="020B0604020202020204" pitchFamily="34" charset="0"/>
            </a:rPr>
            <a:t> discounted at (𝑟</a:t>
          </a:r>
          <a:r>
            <a:rPr lang="en-GB" baseline="0">
              <a:latin typeface="Arial" panose="020B0604020202020204" pitchFamily="34" charset="0"/>
              <a:cs typeface="Arial" panose="020B0604020202020204" pitchFamily="34" charset="0"/>
            </a:rPr>
            <a:t> </a:t>
          </a:r>
          <a:r>
            <a:rPr lang="en-GB">
              <a:latin typeface="Arial" panose="020B0604020202020204" pitchFamily="34" charset="0"/>
              <a:cs typeface="Arial" panose="020B0604020202020204" pitchFamily="34" charset="0"/>
            </a:rPr>
            <a:t>− 𝑔) because both debt and tax shield grow at rate g.</a:t>
          </a:r>
        </a:p>
      </xdr:txBody>
    </xdr:sp>
    <xdr:clientData/>
  </xdr:twoCellAnchor>
  <xdr:twoCellAnchor>
    <xdr:from>
      <xdr:col>4</xdr:col>
      <xdr:colOff>12700</xdr:colOff>
      <xdr:row>27</xdr:row>
      <xdr:rowOff>88900</xdr:rowOff>
    </xdr:from>
    <xdr:to>
      <xdr:col>5</xdr:col>
      <xdr:colOff>302244</xdr:colOff>
      <xdr:row>28</xdr:row>
      <xdr:rowOff>130309</xdr:rowOff>
    </xdr:to>
    <xdr:cxnSp macro="">
      <xdr:nvCxnSpPr>
        <xdr:cNvPr id="39" name="Straight Connector 24">
          <a:extLst>
            <a:ext uri="{FF2B5EF4-FFF2-40B4-BE49-F238E27FC236}">
              <a16:creationId xmlns:a16="http://schemas.microsoft.com/office/drawing/2014/main" id="{EE235FFF-3EC6-3643-94B7-18534397AD9C}"/>
            </a:ext>
          </a:extLst>
        </xdr:cNvPr>
        <xdr:cNvCxnSpPr>
          <a:endCxn id="38" idx="1"/>
        </xdr:cNvCxnSpPr>
      </xdr:nvCxnSpPr>
      <xdr:spPr>
        <a:xfrm>
          <a:off x="4457700" y="5270500"/>
          <a:ext cx="1115044" cy="2319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10027</xdr:colOff>
      <xdr:row>35</xdr:row>
      <xdr:rowOff>80210</xdr:rowOff>
    </xdr:from>
    <xdr:to>
      <xdr:col>5</xdr:col>
      <xdr:colOff>0</xdr:colOff>
      <xdr:row>36</xdr:row>
      <xdr:rowOff>0</xdr:rowOff>
    </xdr:to>
    <xdr:cxnSp macro="">
      <xdr:nvCxnSpPr>
        <xdr:cNvPr id="43" name="Straight Connector 24">
          <a:extLst>
            <a:ext uri="{FF2B5EF4-FFF2-40B4-BE49-F238E27FC236}">
              <a16:creationId xmlns:a16="http://schemas.microsoft.com/office/drawing/2014/main" id="{7C3572D3-0165-4568-9975-6BC47345C361}"/>
            </a:ext>
          </a:extLst>
        </xdr:cNvPr>
        <xdr:cNvCxnSpPr/>
      </xdr:nvCxnSpPr>
      <xdr:spPr>
        <a:xfrm>
          <a:off x="4271211" y="6497052"/>
          <a:ext cx="792078" cy="10026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99610</xdr:colOff>
      <xdr:row>7</xdr:row>
      <xdr:rowOff>185020</xdr:rowOff>
    </xdr:from>
    <xdr:to>
      <xdr:col>18</xdr:col>
      <xdr:colOff>642471</xdr:colOff>
      <xdr:row>9</xdr:row>
      <xdr:rowOff>0</xdr:rowOff>
    </xdr:to>
    <xdr:sp macro="" textlink="">
      <xdr:nvSpPr>
        <xdr:cNvPr id="93" name="Rectangle 1">
          <a:extLst>
            <a:ext uri="{FF2B5EF4-FFF2-40B4-BE49-F238E27FC236}">
              <a16:creationId xmlns:a16="http://schemas.microsoft.com/office/drawing/2014/main" id="{5A9D872A-B6FD-361E-D4B7-AD8D1D891DB8}"/>
            </a:ext>
          </a:extLst>
        </xdr:cNvPr>
        <xdr:cNvSpPr/>
      </xdr:nvSpPr>
      <xdr:spPr>
        <a:xfrm>
          <a:off x="18805963" y="1544667"/>
          <a:ext cx="2305920" cy="203451"/>
        </a:xfrm>
        <a:prstGeom prst="rect">
          <a:avLst/>
        </a:prstGeom>
        <a:ln>
          <a:solidFill>
            <a:srgbClr val="A3EAE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lang="en-GB" sz="1100">
              <a:latin typeface="Arial" panose="020B0604020202020204" pitchFamily="34" charset="0"/>
              <a:cs typeface="Arial" panose="020B0604020202020204" pitchFamily="34" charset="0"/>
            </a:rPr>
            <a:t>Above IPO Price Range</a:t>
          </a:r>
          <a:br>
            <a:rPr lang="en-GB" sz="1100">
              <a:latin typeface="Arial" panose="020B0604020202020204" pitchFamily="34" charset="0"/>
              <a:cs typeface="Arial" panose="020B0604020202020204" pitchFamily="34" charset="0"/>
            </a:rPr>
          </a:br>
          <a:endParaRPr lang="en-GB" sz="1100">
            <a:latin typeface="Arial" panose="020B0604020202020204" pitchFamily="34" charset="0"/>
            <a:cs typeface="Arial" panose="020B0604020202020204" pitchFamily="34" charset="0"/>
          </a:endParaRPr>
        </a:p>
      </xdr:txBody>
    </xdr:sp>
    <xdr:clientData/>
  </xdr:twoCellAnchor>
  <xdr:twoCellAnchor>
    <xdr:from>
      <xdr:col>15</xdr:col>
      <xdr:colOff>373530</xdr:colOff>
      <xdr:row>7</xdr:row>
      <xdr:rowOff>185020</xdr:rowOff>
    </xdr:from>
    <xdr:to>
      <xdr:col>15</xdr:col>
      <xdr:colOff>746063</xdr:colOff>
      <xdr:row>9</xdr:row>
      <xdr:rowOff>7717</xdr:rowOff>
    </xdr:to>
    <xdr:sp macro="" textlink="">
      <xdr:nvSpPr>
        <xdr:cNvPr id="76" name="Rectangle 2">
          <a:extLst>
            <a:ext uri="{FF2B5EF4-FFF2-40B4-BE49-F238E27FC236}">
              <a16:creationId xmlns:a16="http://schemas.microsoft.com/office/drawing/2014/main" id="{8204E359-2228-E147-B57E-E9681DC5E7E0}"/>
            </a:ext>
          </a:extLst>
        </xdr:cNvPr>
        <xdr:cNvSpPr/>
      </xdr:nvSpPr>
      <xdr:spPr>
        <a:xfrm>
          <a:off x="18198354" y="1544667"/>
          <a:ext cx="372533" cy="211168"/>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GB" sz="1100"/>
        </a:p>
      </xdr:txBody>
    </xdr:sp>
    <xdr:clientData/>
  </xdr:twoCellAnchor>
  <xdr:twoCellAnchor>
    <xdr:from>
      <xdr:col>15</xdr:col>
      <xdr:colOff>380303</xdr:colOff>
      <xdr:row>10</xdr:row>
      <xdr:rowOff>5725</xdr:rowOff>
    </xdr:from>
    <xdr:to>
      <xdr:col>15</xdr:col>
      <xdr:colOff>752836</xdr:colOff>
      <xdr:row>11</xdr:row>
      <xdr:rowOff>7148</xdr:rowOff>
    </xdr:to>
    <xdr:sp macro="" textlink="">
      <xdr:nvSpPr>
        <xdr:cNvPr id="71" name="Rectangle 3">
          <a:extLst>
            <a:ext uri="{FF2B5EF4-FFF2-40B4-BE49-F238E27FC236}">
              <a16:creationId xmlns:a16="http://schemas.microsoft.com/office/drawing/2014/main" id="{2DCEEB97-D56A-A94E-B65C-3AF4A43DB6AF}"/>
            </a:ext>
          </a:extLst>
        </xdr:cNvPr>
        <xdr:cNvSpPr/>
      </xdr:nvSpPr>
      <xdr:spPr>
        <a:xfrm>
          <a:off x="18205127" y="1948078"/>
          <a:ext cx="372533" cy="210599"/>
        </a:xfrm>
        <a:prstGeom prst="rect">
          <a:avLst/>
        </a:prstGeom>
        <a:solidFill>
          <a:srgbClr val="FFC000"/>
        </a:solidFill>
        <a:ln>
          <a:solidFill>
            <a:srgbClr val="F4CB74"/>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GB" sz="1100"/>
        </a:p>
      </xdr:txBody>
    </xdr:sp>
    <xdr:clientData/>
  </xdr:twoCellAnchor>
  <xdr:twoCellAnchor>
    <xdr:from>
      <xdr:col>15</xdr:col>
      <xdr:colOff>375522</xdr:colOff>
      <xdr:row>11</xdr:row>
      <xdr:rowOff>179388</xdr:rowOff>
    </xdr:from>
    <xdr:to>
      <xdr:col>15</xdr:col>
      <xdr:colOff>748055</xdr:colOff>
      <xdr:row>13</xdr:row>
      <xdr:rowOff>5725</xdr:rowOff>
    </xdr:to>
    <xdr:sp macro="" textlink="">
      <xdr:nvSpPr>
        <xdr:cNvPr id="68" name="Rectangle 4">
          <a:extLst>
            <a:ext uri="{FF2B5EF4-FFF2-40B4-BE49-F238E27FC236}">
              <a16:creationId xmlns:a16="http://schemas.microsoft.com/office/drawing/2014/main" id="{377B389D-E5F5-6B40-A90B-38AC679583C1}"/>
            </a:ext>
          </a:extLst>
        </xdr:cNvPr>
        <xdr:cNvSpPr/>
      </xdr:nvSpPr>
      <xdr:spPr>
        <a:xfrm>
          <a:off x="18200346" y="2330917"/>
          <a:ext cx="372533" cy="214808"/>
        </a:xfrm>
        <a:prstGeom prst="rect">
          <a:avLst/>
        </a:prstGeom>
        <a:solidFill>
          <a:srgbClr val="FF0000"/>
        </a:solidFill>
        <a:ln>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GB" sz="1100"/>
        </a:p>
      </xdr:txBody>
    </xdr:sp>
    <xdr:clientData/>
  </xdr:twoCellAnchor>
  <xdr:twoCellAnchor>
    <xdr:from>
      <xdr:col>16</xdr:col>
      <xdr:colOff>106383</xdr:colOff>
      <xdr:row>9</xdr:row>
      <xdr:rowOff>184767</xdr:rowOff>
    </xdr:from>
    <xdr:to>
      <xdr:col>18</xdr:col>
      <xdr:colOff>627529</xdr:colOff>
      <xdr:row>10</xdr:row>
      <xdr:rowOff>194236</xdr:rowOff>
    </xdr:to>
    <xdr:sp macro="" textlink="">
      <xdr:nvSpPr>
        <xdr:cNvPr id="89" name="Rectangle 5">
          <a:extLst>
            <a:ext uri="{FF2B5EF4-FFF2-40B4-BE49-F238E27FC236}">
              <a16:creationId xmlns:a16="http://schemas.microsoft.com/office/drawing/2014/main" id="{F6B0BC3A-D31A-4F49-A515-E85D87CBD0E9}"/>
            </a:ext>
          </a:extLst>
        </xdr:cNvPr>
        <xdr:cNvSpPr/>
      </xdr:nvSpPr>
      <xdr:spPr>
        <a:xfrm>
          <a:off x="18812736" y="1932885"/>
          <a:ext cx="2284205" cy="203704"/>
        </a:xfrm>
        <a:prstGeom prst="rect">
          <a:avLst/>
        </a:prstGeom>
        <a:ln>
          <a:solidFill>
            <a:srgbClr val="A3EAE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lang="en-GB" sz="1100">
              <a:latin typeface="Arial" panose="020B0604020202020204" pitchFamily="34" charset="0"/>
              <a:cs typeface="Arial" panose="020B0604020202020204" pitchFamily="34" charset="0"/>
            </a:rPr>
            <a:t>Slightly above IPO Price Range</a:t>
          </a:r>
          <a:br>
            <a:rPr lang="en-GB" sz="1100">
              <a:latin typeface="Arial" panose="020B0604020202020204" pitchFamily="34" charset="0"/>
              <a:cs typeface="Arial" panose="020B0604020202020204" pitchFamily="34" charset="0"/>
            </a:rPr>
          </a:br>
          <a:endParaRPr lang="en-GB" sz="1100">
            <a:latin typeface="Arial" panose="020B0604020202020204" pitchFamily="34" charset="0"/>
            <a:cs typeface="Arial" panose="020B0604020202020204" pitchFamily="34" charset="0"/>
          </a:endParaRPr>
        </a:p>
      </xdr:txBody>
    </xdr:sp>
    <xdr:clientData/>
  </xdr:twoCellAnchor>
  <xdr:twoCellAnchor>
    <xdr:from>
      <xdr:col>16</xdr:col>
      <xdr:colOff>106384</xdr:colOff>
      <xdr:row>11</xdr:row>
      <xdr:rowOff>184767</xdr:rowOff>
    </xdr:from>
    <xdr:to>
      <xdr:col>18</xdr:col>
      <xdr:colOff>627529</xdr:colOff>
      <xdr:row>12</xdr:row>
      <xdr:rowOff>179294</xdr:rowOff>
    </xdr:to>
    <xdr:sp macro="" textlink="">
      <xdr:nvSpPr>
        <xdr:cNvPr id="92" name="Rectangle 6">
          <a:extLst>
            <a:ext uri="{FF2B5EF4-FFF2-40B4-BE49-F238E27FC236}">
              <a16:creationId xmlns:a16="http://schemas.microsoft.com/office/drawing/2014/main" id="{37EE73DE-5CF0-5C42-B752-9D1EA0401DE2}"/>
            </a:ext>
          </a:extLst>
        </xdr:cNvPr>
        <xdr:cNvSpPr/>
      </xdr:nvSpPr>
      <xdr:spPr>
        <a:xfrm>
          <a:off x="18812737" y="2336296"/>
          <a:ext cx="2284204" cy="188763"/>
        </a:xfrm>
        <a:prstGeom prst="rect">
          <a:avLst/>
        </a:prstGeom>
        <a:ln>
          <a:solidFill>
            <a:srgbClr val="A3EAE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lang="en-GB" sz="1100">
              <a:latin typeface="Arial" panose="020B0604020202020204" pitchFamily="34" charset="0"/>
              <a:cs typeface="Arial" panose="020B0604020202020204" pitchFamily="34" charset="0"/>
            </a:rPr>
            <a:t>Below IPO Price Range</a:t>
          </a:r>
          <a:br>
            <a:rPr lang="en-GB" sz="1100">
              <a:latin typeface="Arial" panose="020B0604020202020204" pitchFamily="34" charset="0"/>
              <a:cs typeface="Arial" panose="020B0604020202020204" pitchFamily="34" charset="0"/>
            </a:rPr>
          </a:br>
          <a:endParaRPr lang="en-GB" sz="1100">
            <a:latin typeface="Arial" panose="020B0604020202020204" pitchFamily="34" charset="0"/>
            <a:cs typeface="Arial" panose="020B0604020202020204" pitchFamily="34" charset="0"/>
          </a:endParaRPr>
        </a:p>
      </xdr:txBody>
    </xdr:sp>
    <xdr:clientData/>
  </xdr:twoCellAnchor>
  <xdr:twoCellAnchor>
    <xdr:from>
      <xdr:col>15</xdr:col>
      <xdr:colOff>356598</xdr:colOff>
      <xdr:row>5</xdr:row>
      <xdr:rowOff>173066</xdr:rowOff>
    </xdr:from>
    <xdr:to>
      <xdr:col>18</xdr:col>
      <xdr:colOff>657412</xdr:colOff>
      <xdr:row>7</xdr:row>
      <xdr:rowOff>59765</xdr:rowOff>
    </xdr:to>
    <xdr:sp macro="" textlink="">
      <xdr:nvSpPr>
        <xdr:cNvPr id="94" name="Rectangle 7">
          <a:extLst>
            <a:ext uri="{FF2B5EF4-FFF2-40B4-BE49-F238E27FC236}">
              <a16:creationId xmlns:a16="http://schemas.microsoft.com/office/drawing/2014/main" id="{3B3BC675-1A8C-704E-85D1-212DBB7A2EB3}"/>
            </a:ext>
          </a:extLst>
        </xdr:cNvPr>
        <xdr:cNvSpPr/>
      </xdr:nvSpPr>
      <xdr:spPr>
        <a:xfrm>
          <a:off x="18181422" y="1144242"/>
          <a:ext cx="2945402" cy="275170"/>
        </a:xfrm>
        <a:prstGeom prst="rect">
          <a:avLst/>
        </a:prstGeom>
        <a:ln>
          <a:solidFill>
            <a:srgbClr val="9BDCD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Color Scale</a:t>
          </a:r>
        </a:p>
      </xdr:txBody>
    </xdr:sp>
    <xdr:clientData/>
  </xdr:twoCellAnchor>
  <xdr:twoCellAnchor>
    <xdr:from>
      <xdr:col>9</xdr:col>
      <xdr:colOff>313764</xdr:colOff>
      <xdr:row>20</xdr:row>
      <xdr:rowOff>29882</xdr:rowOff>
    </xdr:from>
    <xdr:to>
      <xdr:col>15</xdr:col>
      <xdr:colOff>761999</xdr:colOff>
      <xdr:row>25</xdr:row>
      <xdr:rowOff>5976</xdr:rowOff>
    </xdr:to>
    <xdr:sp macro="" textlink="">
      <xdr:nvSpPr>
        <xdr:cNvPr id="95" name="Rectangle 8">
          <a:extLst>
            <a:ext uri="{FF2B5EF4-FFF2-40B4-BE49-F238E27FC236}">
              <a16:creationId xmlns:a16="http://schemas.microsoft.com/office/drawing/2014/main" id="{DACC7E8D-18C9-0F47-BE79-ED8026EBEF44}"/>
            </a:ext>
          </a:extLst>
        </xdr:cNvPr>
        <xdr:cNvSpPr/>
      </xdr:nvSpPr>
      <xdr:spPr>
        <a:xfrm>
          <a:off x="10758244" y="4225962"/>
          <a:ext cx="7783755" cy="961614"/>
        </a:xfrm>
        <a:prstGeom prst="rect">
          <a:avLst/>
        </a:prstGeom>
        <a:ln>
          <a:solidFill>
            <a:srgbClr val="A3EAE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GB" sz="1100" b="0">
              <a:latin typeface="Arial" panose="020B0604020202020204" pitchFamily="34" charset="0"/>
              <a:cs typeface="Arial" panose="020B0604020202020204" pitchFamily="34" charset="0"/>
            </a:rPr>
            <a:t>The Retailer peer set is the more appropriate benchmark for Douglas, given its omnichannel specialty-retail business model. The EV/EBITDA – Retail Median of 8,34x implies €31,38 per share, marginally above the IPO range of €26-30, suggesting the </a:t>
          </a:r>
          <a:r>
            <a:rPr lang="en-GB" sz="1100" b="1">
              <a:latin typeface="Arial" panose="020B0604020202020204" pitchFamily="34" charset="0"/>
              <a:cs typeface="Arial" panose="020B0604020202020204" pitchFamily="34" charset="0"/>
            </a:rPr>
            <a:t>IPO is fairly priced</a:t>
          </a:r>
          <a:r>
            <a:rPr lang="en-GB" sz="1100" b="0">
              <a:latin typeface="Arial" panose="020B0604020202020204" pitchFamily="34" charset="0"/>
              <a:cs typeface="Arial" panose="020B0604020202020204" pitchFamily="34" charset="0"/>
            </a:rPr>
            <a:t>. The premium beauty peers (€90+) represent an upper bound that is not economically achievable for Douglas given its retailer cost structure and high financial leverage (Net Debt/EBITDA ~4,2x).</a:t>
          </a:r>
        </a:p>
      </xdr:txBody>
    </xdr:sp>
    <xdr:clientData/>
  </xdr:twoCellAnchor>
  <xdr:twoCellAnchor>
    <xdr:from>
      <xdr:col>13</xdr:col>
      <xdr:colOff>390770</xdr:colOff>
      <xdr:row>13</xdr:row>
      <xdr:rowOff>0</xdr:rowOff>
    </xdr:from>
    <xdr:to>
      <xdr:col>17</xdr:col>
      <xdr:colOff>210696</xdr:colOff>
      <xdr:row>15</xdr:row>
      <xdr:rowOff>147996</xdr:rowOff>
    </xdr:to>
    <xdr:cxnSp macro="">
      <xdr:nvCxnSpPr>
        <xdr:cNvPr id="2" name="Straight Connector 1">
          <a:extLst>
            <a:ext uri="{FF2B5EF4-FFF2-40B4-BE49-F238E27FC236}">
              <a16:creationId xmlns:a16="http://schemas.microsoft.com/office/drawing/2014/main" id="{61BC471B-D8FC-9B41-83A8-854993B439D4}"/>
            </a:ext>
          </a:extLst>
        </xdr:cNvPr>
        <xdr:cNvCxnSpPr/>
      </xdr:nvCxnSpPr>
      <xdr:spPr>
        <a:xfrm>
          <a:off x="16070385" y="2540000"/>
          <a:ext cx="3703196" cy="85626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116837</xdr:colOff>
      <xdr:row>15</xdr:row>
      <xdr:rowOff>113697</xdr:rowOff>
    </xdr:from>
    <xdr:to>
      <xdr:col>21</xdr:col>
      <xdr:colOff>513637</xdr:colOff>
      <xdr:row>20</xdr:row>
      <xdr:rowOff>56696</xdr:rowOff>
    </xdr:to>
    <xdr:sp macro="" textlink="">
      <xdr:nvSpPr>
        <xdr:cNvPr id="9" name="Rectangle 2">
          <a:extLst>
            <a:ext uri="{FF2B5EF4-FFF2-40B4-BE49-F238E27FC236}">
              <a16:creationId xmlns:a16="http://schemas.microsoft.com/office/drawing/2014/main" id="{18928CFA-022C-4F4D-B27B-FDA4EA9F2E22}"/>
            </a:ext>
          </a:extLst>
        </xdr:cNvPr>
        <xdr:cNvSpPr/>
      </xdr:nvSpPr>
      <xdr:spPr>
        <a:xfrm>
          <a:off x="18769962" y="3027893"/>
          <a:ext cx="4762425" cy="117898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r>
            <a:rPr lang="en-GB">
              <a:latin typeface="Arial" panose="020B0604020202020204" pitchFamily="34" charset="0"/>
              <a:cs typeface="Arial" panose="020B0604020202020204" pitchFamily="34" charset="0"/>
            </a:rPr>
            <a:t>The EV/EBIT retail median (€11.17) is lower than Douglas’s IPO price range. However, this multiple is less reliable because Douglas has high depreciation and amortisation costs, mainly due to IFRS 16 lease assets and acquired intangible assets.</a:t>
          </a:r>
          <a:r>
            <a:rPr lang="en-GB" baseline="0">
              <a:latin typeface="Arial" panose="020B0604020202020204" pitchFamily="34" charset="0"/>
              <a:cs typeface="Arial" panose="020B0604020202020204" pitchFamily="34" charset="0"/>
            </a:rPr>
            <a:t> </a:t>
          </a:r>
          <a:r>
            <a:rPr lang="en-GB">
              <a:latin typeface="Arial" panose="020B0604020202020204" pitchFamily="34" charset="0"/>
              <a:cs typeface="Arial" panose="020B0604020202020204" pitchFamily="34" charset="0"/>
            </a:rPr>
            <a:t>For this reason, EV/EBITDA is a better metric to compare Douglas with similar companies, because it is less affected by these accounting costs.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12700</xdr:colOff>
      <xdr:row>4</xdr:row>
      <xdr:rowOff>50800</xdr:rowOff>
    </xdr:from>
    <xdr:to>
      <xdr:col>15</xdr:col>
      <xdr:colOff>25400</xdr:colOff>
      <xdr:row>4</xdr:row>
      <xdr:rowOff>101600</xdr:rowOff>
    </xdr:to>
    <xdr:cxnSp macro="">
      <xdr:nvCxnSpPr>
        <xdr:cNvPr id="5" name="Connettore 1 2">
          <a:extLst>
            <a:ext uri="{FF2B5EF4-FFF2-40B4-BE49-F238E27FC236}">
              <a16:creationId xmlns:a16="http://schemas.microsoft.com/office/drawing/2014/main" id="{59653576-BA3E-2A43-847C-AFA3BF8117F0}"/>
            </a:ext>
          </a:extLst>
        </xdr:cNvPr>
        <xdr:cNvCxnSpPr/>
      </xdr:nvCxnSpPr>
      <xdr:spPr>
        <a:xfrm>
          <a:off x="10909300" y="952500"/>
          <a:ext cx="2489200" cy="508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oneCellAnchor>
    <xdr:from>
      <xdr:col>14</xdr:col>
      <xdr:colOff>812800</xdr:colOff>
      <xdr:row>4</xdr:row>
      <xdr:rowOff>0</xdr:rowOff>
    </xdr:from>
    <xdr:ext cx="6858000" cy="780727"/>
    <xdr:sp macro="" textlink="">
      <xdr:nvSpPr>
        <xdr:cNvPr id="586" name="CasellaDiTesto 88">
          <a:extLst>
            <a:ext uri="{FF2B5EF4-FFF2-40B4-BE49-F238E27FC236}">
              <a16:creationId xmlns:a16="http://schemas.microsoft.com/office/drawing/2014/main" id="{28DD2F2F-C2A2-DC44-9403-08D82B3841C5}"/>
            </a:ext>
            <a:ext uri="{147F2762-F138-4A5C-976F-8EAC2B608ADB}">
              <a16:predDERef xmlns:a16="http://schemas.microsoft.com/office/drawing/2014/main" pred="{7BCFC113-D2DA-9AB2-BDCF-723518173D96}"/>
            </a:ext>
          </a:extLst>
        </xdr:cNvPr>
        <xdr:cNvSpPr txBox="1"/>
      </xdr:nvSpPr>
      <xdr:spPr>
        <a:xfrm>
          <a:off x="12865100" y="787400"/>
          <a:ext cx="6858000" cy="780727"/>
        </a:xfrm>
        <a:prstGeom prst="rect">
          <a:avLst/>
        </a:prstGeom>
        <a:solidFill>
          <a:srgbClr val="CCFEF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it-IT"/>
            <a:t>Under risk-adjusted assumptions, the three methodologies converge on a range of €30–34. Buying at the IPO lower bound of €26 provides a meaningful margin of safety (up to ~31% upside to APV of €34). Buying at the upper bound of €30 offers limited protection, as it sits at or just below the estimated intrinsic value across most methods. The investment is attractive only if shares can be acquired at or below the midpoint of the offering range.</a:t>
          </a:r>
        </a:p>
      </xdr:txBody>
    </xdr:sp>
    <xdr:clientData/>
  </xdr:oneCellAnchor>
  <xdr:twoCellAnchor>
    <xdr:from>
      <xdr:col>11</xdr:col>
      <xdr:colOff>0</xdr:colOff>
      <xdr:row>39</xdr:row>
      <xdr:rowOff>203200</xdr:rowOff>
    </xdr:from>
    <xdr:to>
      <xdr:col>12</xdr:col>
      <xdr:colOff>12700</xdr:colOff>
      <xdr:row>42</xdr:row>
      <xdr:rowOff>50800</xdr:rowOff>
    </xdr:to>
    <xdr:cxnSp macro="">
      <xdr:nvCxnSpPr>
        <xdr:cNvPr id="7" name="Connettore 1 4">
          <a:extLst>
            <a:ext uri="{FF2B5EF4-FFF2-40B4-BE49-F238E27FC236}">
              <a16:creationId xmlns:a16="http://schemas.microsoft.com/office/drawing/2014/main" id="{95A6FD0F-93D3-CC43-8EF2-CE591778689F}"/>
            </a:ext>
          </a:extLst>
        </xdr:cNvPr>
        <xdr:cNvCxnSpPr/>
      </xdr:nvCxnSpPr>
      <xdr:spPr>
        <a:xfrm>
          <a:off x="9271000" y="8483600"/>
          <a:ext cx="838200" cy="7620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06C01-B446-5044-A5CF-EA210F65E7D8}">
  <dimension ref="A2:IU182"/>
  <sheetViews>
    <sheetView tabSelected="1" zoomScale="61" zoomScaleNormal="10" workbookViewId="0">
      <selection activeCell="B2" sqref="B2:D2"/>
    </sheetView>
  </sheetViews>
  <sheetFormatPr baseColWidth="10" defaultColWidth="8.83203125" defaultRowHeight="15" x14ac:dyDescent="0.2"/>
  <cols>
    <col min="2" max="2" width="59.83203125" bestFit="1" customWidth="1"/>
    <col min="3" max="3" width="51.1640625" customWidth="1"/>
    <col min="4" max="4" width="22.83203125" bestFit="1" customWidth="1"/>
    <col min="5" max="5" width="20" customWidth="1"/>
    <col min="6" max="6" width="22.83203125" customWidth="1"/>
    <col min="7" max="7" width="18" customWidth="1"/>
    <col min="8" max="8" width="30.5" customWidth="1"/>
    <col min="9" max="9" width="16.6640625" customWidth="1"/>
    <col min="10" max="10" width="12.83203125" customWidth="1"/>
  </cols>
  <sheetData>
    <row r="2" spans="1:221" s="166" customFormat="1" ht="16" x14ac:dyDescent="0.2">
      <c r="A2" s="154"/>
      <c r="B2" s="459" t="s">
        <v>0</v>
      </c>
      <c r="C2" s="460"/>
      <c r="D2" s="461"/>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row>
    <row r="3" spans="1:221" x14ac:dyDescent="0.2">
      <c r="B3" s="4"/>
      <c r="C3" s="27" t="s">
        <v>1</v>
      </c>
      <c r="D3" s="28" t="s">
        <v>2</v>
      </c>
    </row>
    <row r="4" spans="1:221" x14ac:dyDescent="0.2">
      <c r="B4" s="102" t="s">
        <v>0</v>
      </c>
      <c r="C4" s="47" t="s">
        <v>3</v>
      </c>
      <c r="D4" s="48" t="s">
        <v>3</v>
      </c>
    </row>
    <row r="5" spans="1:221" x14ac:dyDescent="0.2">
      <c r="B5" s="12" t="s">
        <v>4</v>
      </c>
      <c r="C5" s="13">
        <v>4093.9</v>
      </c>
      <c r="D5" s="14">
        <v>3677.5</v>
      </c>
    </row>
    <row r="6" spans="1:221" x14ac:dyDescent="0.2">
      <c r="B6" s="6" t="s">
        <v>5</v>
      </c>
      <c r="C6" s="7">
        <v>-2.9</v>
      </c>
      <c r="D6" s="8">
        <v>-27.5</v>
      </c>
    </row>
    <row r="7" spans="1:221" x14ac:dyDescent="0.2">
      <c r="B7" s="9" t="s">
        <v>6</v>
      </c>
      <c r="C7" s="10">
        <v>4091</v>
      </c>
      <c r="D7" s="11">
        <v>3649.9</v>
      </c>
    </row>
    <row r="8" spans="1:221" x14ac:dyDescent="0.2">
      <c r="B8" s="12" t="s">
        <v>7</v>
      </c>
      <c r="C8" s="13">
        <v>-2237.1999999999998</v>
      </c>
      <c r="D8" s="14">
        <v>-2058.4</v>
      </c>
      <c r="F8" s="154"/>
    </row>
    <row r="9" spans="1:221" x14ac:dyDescent="0.2">
      <c r="B9" s="9" t="s">
        <v>8</v>
      </c>
      <c r="C9" s="10">
        <v>1856.8</v>
      </c>
      <c r="D9" s="11">
        <v>1619.1</v>
      </c>
      <c r="F9" s="162"/>
    </row>
    <row r="10" spans="1:221" x14ac:dyDescent="0.2">
      <c r="B10" s="15" t="s">
        <v>9</v>
      </c>
      <c r="C10" s="16">
        <v>280.39999999999998</v>
      </c>
      <c r="D10" s="17">
        <v>288.60000000000002</v>
      </c>
      <c r="F10" s="162"/>
    </row>
    <row r="11" spans="1:221" x14ac:dyDescent="0.2">
      <c r="B11" s="18" t="s">
        <v>10</v>
      </c>
      <c r="C11" s="19">
        <v>-644.70000000000005</v>
      </c>
      <c r="D11" s="8">
        <v>-593.79999999999995</v>
      </c>
      <c r="F11" s="364"/>
    </row>
    <row r="12" spans="1:221" x14ac:dyDescent="0.2">
      <c r="B12" s="20" t="s">
        <v>11</v>
      </c>
      <c r="C12" s="21">
        <v>-809.5</v>
      </c>
      <c r="D12" s="8">
        <v>-783.8</v>
      </c>
    </row>
    <row r="13" spans="1:221" x14ac:dyDescent="0.2">
      <c r="B13" s="6" t="s">
        <v>12</v>
      </c>
      <c r="C13" s="7">
        <v>683</v>
      </c>
      <c r="D13" s="8">
        <v>530</v>
      </c>
    </row>
    <row r="14" spans="1:221" x14ac:dyDescent="0.2">
      <c r="B14" s="9" t="s">
        <v>13</v>
      </c>
      <c r="C14" s="22">
        <v>725.9</v>
      </c>
      <c r="D14" s="23">
        <v>593.4</v>
      </c>
    </row>
    <row r="15" spans="1:221" x14ac:dyDescent="0.2">
      <c r="B15" s="12" t="s">
        <v>14</v>
      </c>
      <c r="C15" s="24">
        <v>-345.9</v>
      </c>
      <c r="D15" s="17">
        <v>-580.79999999999995</v>
      </c>
    </row>
    <row r="16" spans="1:221" x14ac:dyDescent="0.2">
      <c r="B16" s="9" t="s">
        <v>15</v>
      </c>
      <c r="C16" s="22">
        <v>337.1</v>
      </c>
      <c r="D16" s="23">
        <v>-50.7</v>
      </c>
    </row>
    <row r="17" spans="1:251" x14ac:dyDescent="0.2">
      <c r="B17" s="15" t="s">
        <v>16</v>
      </c>
      <c r="C17" s="16">
        <v>55.1</v>
      </c>
      <c r="D17" s="17">
        <v>12.7</v>
      </c>
    </row>
    <row r="18" spans="1:251" x14ac:dyDescent="0.2">
      <c r="B18" s="18" t="s">
        <v>17</v>
      </c>
      <c r="C18" s="19">
        <v>-326.89999999999998</v>
      </c>
      <c r="D18" s="8">
        <v>-318.89999999999998</v>
      </c>
    </row>
    <row r="19" spans="1:251" x14ac:dyDescent="0.2">
      <c r="B19" s="20" t="s">
        <v>18</v>
      </c>
      <c r="C19" s="21">
        <v>-271.7</v>
      </c>
      <c r="D19" s="8">
        <v>-306.2</v>
      </c>
    </row>
    <row r="20" spans="1:251" x14ac:dyDescent="0.2">
      <c r="B20" s="9" t="s">
        <v>19</v>
      </c>
      <c r="C20" s="22">
        <v>65.3</v>
      </c>
      <c r="D20" s="23">
        <v>-357</v>
      </c>
    </row>
    <row r="21" spans="1:251" x14ac:dyDescent="0.2">
      <c r="B21" s="12" t="s">
        <v>20</v>
      </c>
      <c r="C21" s="24">
        <v>-48.7</v>
      </c>
      <c r="D21" s="17">
        <v>43.2</v>
      </c>
    </row>
    <row r="22" spans="1:251" x14ac:dyDescent="0.2">
      <c r="B22" s="6" t="s">
        <v>21</v>
      </c>
      <c r="C22" s="25">
        <v>16.7</v>
      </c>
      <c r="D22" s="26">
        <v>-313.7</v>
      </c>
    </row>
    <row r="26" spans="1:251" x14ac:dyDescent="0.2">
      <c r="B26" s="154" t="s">
        <v>22</v>
      </c>
      <c r="C26" s="162">
        <f>C16/C5</f>
        <v>8.2342021055717043E-2</v>
      </c>
    </row>
    <row r="30" spans="1:251" s="166" customFormat="1" ht="16" x14ac:dyDescent="0.2">
      <c r="A30" s="154"/>
      <c r="B30" s="459" t="s">
        <v>23</v>
      </c>
      <c r="C30" s="460"/>
      <c r="D30" s="460"/>
      <c r="E30" s="460"/>
      <c r="F30" s="460"/>
      <c r="G30" s="460"/>
      <c r="H30" s="460"/>
      <c r="I30" s="460"/>
      <c r="J30" s="461"/>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54"/>
      <c r="FK30" s="154"/>
      <c r="FL30" s="154"/>
      <c r="FM30" s="154"/>
      <c r="FN30" s="154"/>
      <c r="FO30" s="154"/>
      <c r="FP30" s="154"/>
      <c r="FQ30" s="154"/>
      <c r="FR30" s="154"/>
      <c r="FS30" s="154"/>
      <c r="FT30" s="154"/>
      <c r="FU30" s="154"/>
      <c r="FV30" s="154"/>
      <c r="FW30" s="154"/>
      <c r="FX30" s="154"/>
      <c r="FY30" s="154"/>
      <c r="FZ30" s="154"/>
      <c r="GA30" s="154"/>
      <c r="GB30" s="154"/>
      <c r="GC30" s="154"/>
      <c r="GD30" s="154"/>
      <c r="GE30" s="154"/>
      <c r="GF30" s="154"/>
      <c r="GG30" s="154"/>
      <c r="GH30" s="154"/>
      <c r="GI30" s="154"/>
      <c r="GJ30" s="154"/>
      <c r="GK30" s="154"/>
      <c r="GL30" s="154"/>
      <c r="GM30" s="154"/>
      <c r="GN30" s="154"/>
      <c r="GO30" s="154"/>
      <c r="GP30" s="154"/>
      <c r="GQ30" s="154"/>
      <c r="GR30" s="154"/>
      <c r="GS30" s="154"/>
      <c r="GT30" s="154"/>
      <c r="GU30" s="154"/>
      <c r="GV30" s="154"/>
      <c r="GW30" s="154"/>
      <c r="GX30" s="154"/>
      <c r="GY30" s="154"/>
      <c r="GZ30" s="154"/>
      <c r="HA30" s="154"/>
      <c r="HB30" s="154"/>
      <c r="HC30" s="154"/>
      <c r="HD30" s="154"/>
      <c r="HE30" s="154"/>
      <c r="HF30" s="154"/>
      <c r="HG30" s="154"/>
      <c r="HH30" s="154"/>
      <c r="HI30" s="154"/>
      <c r="HJ30" s="154"/>
      <c r="HK30" s="154"/>
      <c r="HL30" s="154"/>
      <c r="HM30" s="154"/>
      <c r="HN30" s="154"/>
      <c r="HO30" s="154"/>
      <c r="HP30" s="154"/>
      <c r="HQ30" s="154"/>
      <c r="HR30" s="154"/>
      <c r="HS30" s="154"/>
      <c r="HT30" s="154"/>
      <c r="HU30" s="154"/>
      <c r="HV30" s="154"/>
      <c r="HW30" s="154"/>
      <c r="HX30" s="154"/>
      <c r="HY30" s="154"/>
      <c r="HZ30" s="154"/>
      <c r="IA30" s="154"/>
      <c r="IB30" s="154"/>
      <c r="IC30" s="154"/>
      <c r="ID30" s="154"/>
      <c r="IE30" s="154"/>
      <c r="IF30" s="154"/>
      <c r="IG30" s="154"/>
      <c r="IH30" s="154"/>
      <c r="II30" s="154"/>
      <c r="IJ30" s="154"/>
      <c r="IK30" s="154"/>
      <c r="IL30" s="154"/>
      <c r="IM30" s="154"/>
      <c r="IN30" s="154"/>
      <c r="IO30" s="154"/>
      <c r="IP30" s="154"/>
      <c r="IQ30" s="154"/>
    </row>
    <row r="31" spans="1:251" x14ac:dyDescent="0.2">
      <c r="B31" s="349"/>
      <c r="C31" s="31"/>
      <c r="D31" s="31"/>
    </row>
    <row r="32" spans="1:251" x14ac:dyDescent="0.2">
      <c r="C32" s="105">
        <v>45199</v>
      </c>
      <c r="D32" s="105">
        <v>44834</v>
      </c>
      <c r="I32" s="105">
        <v>45199</v>
      </c>
      <c r="J32" s="105">
        <v>44834</v>
      </c>
    </row>
    <row r="33" spans="2:10" x14ac:dyDescent="0.2">
      <c r="B33" s="102" t="s">
        <v>24</v>
      </c>
      <c r="C33" s="47" t="s">
        <v>3</v>
      </c>
      <c r="D33" s="47" t="s">
        <v>3</v>
      </c>
      <c r="H33" s="131" t="s">
        <v>25</v>
      </c>
      <c r="I33" s="47" t="s">
        <v>3</v>
      </c>
      <c r="J33" s="47" t="s">
        <v>3</v>
      </c>
    </row>
    <row r="34" spans="2:10" x14ac:dyDescent="0.2">
      <c r="B34" s="121" t="s">
        <v>26</v>
      </c>
      <c r="C34" s="119"/>
      <c r="D34" s="120"/>
      <c r="H34" s="124" t="s">
        <v>27</v>
      </c>
      <c r="I34" s="130"/>
      <c r="J34" s="106"/>
    </row>
    <row r="35" spans="2:10" x14ac:dyDescent="0.2">
      <c r="B35" s="107" t="s">
        <v>28</v>
      </c>
      <c r="C35" s="108">
        <v>0</v>
      </c>
      <c r="D35" s="106">
        <v>0</v>
      </c>
      <c r="H35" s="18" t="s">
        <v>29</v>
      </c>
      <c r="I35" s="114">
        <v>1028.4000000000001</v>
      </c>
      <c r="J35" s="106">
        <v>1036.0999999999999</v>
      </c>
    </row>
    <row r="36" spans="2:10" x14ac:dyDescent="0.2">
      <c r="B36" s="107" t="s">
        <v>30</v>
      </c>
      <c r="C36" s="108">
        <v>326</v>
      </c>
      <c r="D36" s="106">
        <v>326</v>
      </c>
      <c r="H36" s="18" t="s">
        <v>31</v>
      </c>
      <c r="I36" s="108">
        <v>823.7</v>
      </c>
      <c r="J36" s="106">
        <v>814.9</v>
      </c>
    </row>
    <row r="37" spans="2:10" x14ac:dyDescent="0.2">
      <c r="B37" s="109" t="s">
        <v>32</v>
      </c>
      <c r="C37" s="110">
        <v>-1581.3</v>
      </c>
      <c r="D37" s="106">
        <v>-1619.9</v>
      </c>
      <c r="H37" s="18" t="s">
        <v>33</v>
      </c>
      <c r="I37" s="108">
        <v>223.4</v>
      </c>
      <c r="J37" s="106">
        <v>209.1</v>
      </c>
    </row>
    <row r="38" spans="2:10" x14ac:dyDescent="0.2">
      <c r="B38" s="111"/>
      <c r="C38" s="112">
        <v>-1255.2</v>
      </c>
      <c r="D38" s="106">
        <v>-1293.9000000000001</v>
      </c>
      <c r="H38" s="18" t="s">
        <v>34</v>
      </c>
      <c r="I38" s="114">
        <v>1003.4</v>
      </c>
      <c r="J38" s="106">
        <v>1049</v>
      </c>
    </row>
    <row r="39" spans="2:10" x14ac:dyDescent="0.2">
      <c r="B39" s="122" t="s">
        <v>35</v>
      </c>
      <c r="C39" s="113"/>
      <c r="D39" s="106"/>
      <c r="H39" s="18" t="s">
        <v>36</v>
      </c>
      <c r="I39" s="108">
        <v>42.5</v>
      </c>
      <c r="J39" s="106">
        <v>11.6</v>
      </c>
    </row>
    <row r="40" spans="2:10" x14ac:dyDescent="0.2">
      <c r="B40" s="18" t="s">
        <v>37</v>
      </c>
      <c r="C40" s="108">
        <v>27</v>
      </c>
      <c r="D40" s="106">
        <v>28.2</v>
      </c>
      <c r="H40" s="20" t="s">
        <v>38</v>
      </c>
      <c r="I40" s="115">
        <v>9.9</v>
      </c>
      <c r="J40" s="106">
        <v>10.9</v>
      </c>
    </row>
    <row r="41" spans="2:10" x14ac:dyDescent="0.2">
      <c r="B41" s="18"/>
      <c r="C41" s="108"/>
      <c r="D41" s="106"/>
      <c r="H41" s="85"/>
      <c r="I41" s="128">
        <v>3131.1</v>
      </c>
      <c r="J41" s="106">
        <v>3131.7</v>
      </c>
    </row>
    <row r="42" spans="2:10" x14ac:dyDescent="0.2">
      <c r="B42" s="18" t="s">
        <v>39</v>
      </c>
      <c r="C42" s="108">
        <v>51.4</v>
      </c>
      <c r="D42" s="106">
        <v>46.4</v>
      </c>
      <c r="H42" s="129" t="s">
        <v>40</v>
      </c>
      <c r="I42" s="128"/>
      <c r="J42" s="106"/>
    </row>
    <row r="43" spans="2:10" x14ac:dyDescent="0.2">
      <c r="B43" s="18" t="s">
        <v>41</v>
      </c>
      <c r="C43" s="114">
        <v>4111.5</v>
      </c>
      <c r="D43" s="106">
        <v>4036.9</v>
      </c>
      <c r="H43" s="18" t="s">
        <v>42</v>
      </c>
      <c r="I43" s="108">
        <v>762.6</v>
      </c>
      <c r="J43" s="106">
        <v>719.4</v>
      </c>
    </row>
    <row r="44" spans="2:10" x14ac:dyDescent="0.2">
      <c r="B44" s="18" t="s">
        <v>43</v>
      </c>
      <c r="C44" s="108">
        <v>4.0999999999999996</v>
      </c>
      <c r="D44" s="106">
        <v>4.5999999999999996</v>
      </c>
      <c r="H44" s="18" t="s">
        <v>44</v>
      </c>
      <c r="I44" s="108">
        <v>36.9</v>
      </c>
      <c r="J44" s="106">
        <v>32.9</v>
      </c>
    </row>
    <row r="45" spans="2:10" x14ac:dyDescent="0.2">
      <c r="B45" s="20" t="s">
        <v>45</v>
      </c>
      <c r="C45" s="115">
        <v>177.4</v>
      </c>
      <c r="D45" s="106">
        <v>180.8</v>
      </c>
      <c r="H45" s="107" t="s">
        <v>46</v>
      </c>
      <c r="I45" s="108">
        <v>26.6</v>
      </c>
      <c r="J45" s="106">
        <v>32.200000000000003</v>
      </c>
    </row>
    <row r="46" spans="2:10" x14ac:dyDescent="0.2">
      <c r="B46" s="111"/>
      <c r="C46" s="112">
        <v>4371.3999999999996</v>
      </c>
      <c r="D46" s="106">
        <v>4296.8999999999996</v>
      </c>
      <c r="H46" s="18" t="s">
        <v>36</v>
      </c>
      <c r="I46" s="108">
        <v>216.4</v>
      </c>
      <c r="J46" s="106">
        <v>183.4</v>
      </c>
    </row>
    <row r="47" spans="2:10" x14ac:dyDescent="0.2">
      <c r="B47" s="122" t="s">
        <v>47</v>
      </c>
      <c r="C47" s="113"/>
      <c r="D47" s="106"/>
      <c r="H47" s="18" t="s">
        <v>48</v>
      </c>
      <c r="I47" s="108">
        <v>60.6</v>
      </c>
      <c r="J47" s="106">
        <v>46.6</v>
      </c>
    </row>
    <row r="48" spans="2:10" x14ac:dyDescent="0.2">
      <c r="B48" s="18" t="s">
        <v>49</v>
      </c>
      <c r="C48" s="108">
        <v>89</v>
      </c>
      <c r="D48" s="106">
        <v>97.5</v>
      </c>
      <c r="H48" s="20" t="s">
        <v>50</v>
      </c>
      <c r="I48" s="115">
        <v>262.3</v>
      </c>
      <c r="J48" s="106">
        <v>245.3</v>
      </c>
    </row>
    <row r="49" spans="1:250" x14ac:dyDescent="0.2">
      <c r="B49" s="18" t="s">
        <v>51</v>
      </c>
      <c r="C49" s="108">
        <v>617.6</v>
      </c>
      <c r="D49" s="106">
        <v>634.5</v>
      </c>
      <c r="H49" s="127"/>
      <c r="I49" s="128">
        <v>1365.3</v>
      </c>
      <c r="J49" s="106">
        <v>1259.8</v>
      </c>
    </row>
    <row r="50" spans="1:250" x14ac:dyDescent="0.2">
      <c r="B50" s="107" t="s">
        <v>52</v>
      </c>
      <c r="C50" s="108">
        <v>77.400000000000006</v>
      </c>
      <c r="D50" s="106">
        <v>58.1</v>
      </c>
      <c r="H50" s="125" t="s">
        <v>53</v>
      </c>
      <c r="I50" s="126">
        <v>4496.3999999999996</v>
      </c>
      <c r="J50" s="106">
        <v>4391.5</v>
      </c>
    </row>
    <row r="51" spans="1:250" x14ac:dyDescent="0.2">
      <c r="B51" s="18" t="s">
        <v>41</v>
      </c>
      <c r="C51" s="108">
        <v>304.39999999999998</v>
      </c>
      <c r="D51" s="106">
        <v>332.8</v>
      </c>
    </row>
    <row r="52" spans="1:250" x14ac:dyDescent="0.2">
      <c r="B52" s="20" t="s">
        <v>43</v>
      </c>
      <c r="C52" s="115">
        <v>292</v>
      </c>
      <c r="D52" s="106">
        <v>265.60000000000002</v>
      </c>
    </row>
    <row r="53" spans="1:250" x14ac:dyDescent="0.2">
      <c r="B53" s="116"/>
      <c r="C53" s="117">
        <v>1380.3</v>
      </c>
      <c r="D53" s="106">
        <v>1388.6</v>
      </c>
    </row>
    <row r="54" spans="1:250" x14ac:dyDescent="0.2">
      <c r="B54" s="123" t="s">
        <v>54</v>
      </c>
      <c r="C54" s="118">
        <v>4496.3999999999996</v>
      </c>
      <c r="D54" s="106">
        <v>4391.5</v>
      </c>
    </row>
    <row r="58" spans="1:250" s="166" customFormat="1" ht="16" x14ac:dyDescent="0.2">
      <c r="A58" s="154"/>
      <c r="B58" s="462" t="s">
        <v>55</v>
      </c>
      <c r="C58" s="463"/>
      <c r="D58" s="46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4"/>
      <c r="CD58" s="154"/>
      <c r="CE58" s="154"/>
      <c r="CF58" s="154"/>
      <c r="CG58" s="154"/>
      <c r="CH58" s="154"/>
      <c r="CI58" s="154"/>
      <c r="CJ58" s="154"/>
      <c r="CK58" s="154"/>
      <c r="CL58" s="154"/>
      <c r="CM58" s="154"/>
      <c r="CN58" s="154"/>
      <c r="CO58" s="154"/>
      <c r="CP58" s="154"/>
      <c r="CQ58" s="154"/>
      <c r="CR58" s="154"/>
      <c r="CS58" s="154"/>
      <c r="CT58" s="154"/>
      <c r="CU58" s="154"/>
      <c r="CV58" s="154"/>
      <c r="CW58" s="154"/>
      <c r="CX58" s="154"/>
      <c r="CY58" s="154"/>
      <c r="CZ58" s="154"/>
      <c r="DA58" s="154"/>
      <c r="DB58" s="154"/>
      <c r="DC58" s="154"/>
      <c r="DD58" s="154"/>
      <c r="DE58" s="154"/>
      <c r="DF58" s="154"/>
      <c r="DG58" s="154"/>
      <c r="DH58" s="154"/>
      <c r="DI58" s="154"/>
      <c r="DJ58" s="154"/>
      <c r="DK58" s="154"/>
      <c r="DL58" s="154"/>
      <c r="DM58" s="154"/>
      <c r="DN58" s="154"/>
      <c r="DO58" s="154"/>
      <c r="DP58" s="154"/>
      <c r="DQ58" s="154"/>
      <c r="DR58" s="154"/>
      <c r="DS58" s="154"/>
      <c r="DT58" s="154"/>
      <c r="DU58" s="154"/>
      <c r="DV58" s="154"/>
      <c r="DW58" s="154"/>
      <c r="DX58" s="154"/>
      <c r="DY58" s="154"/>
      <c r="DZ58" s="154"/>
      <c r="EA58" s="154"/>
      <c r="EB58" s="154"/>
      <c r="EC58" s="154"/>
      <c r="ED58" s="154"/>
      <c r="EE58" s="154"/>
      <c r="EF58" s="154"/>
      <c r="EG58" s="154"/>
      <c r="EH58" s="154"/>
      <c r="EI58" s="154"/>
      <c r="EJ58" s="154"/>
      <c r="EK58" s="154"/>
      <c r="EL58" s="154"/>
      <c r="EM58" s="154"/>
      <c r="EN58" s="154"/>
      <c r="EO58" s="154"/>
      <c r="EP58" s="154"/>
      <c r="EQ58" s="154"/>
      <c r="ER58" s="154"/>
      <c r="ES58" s="154"/>
      <c r="ET58" s="154"/>
      <c r="EU58" s="154"/>
      <c r="EV58" s="154"/>
      <c r="EW58" s="154"/>
      <c r="EX58" s="154"/>
      <c r="EY58" s="154"/>
      <c r="EZ58" s="154"/>
      <c r="FA58" s="154"/>
      <c r="FB58" s="154"/>
      <c r="FC58" s="154"/>
      <c r="FD58" s="154"/>
      <c r="FE58" s="154"/>
      <c r="FF58" s="154"/>
      <c r="FG58" s="154"/>
      <c r="FH58" s="154"/>
      <c r="FI58" s="154"/>
      <c r="FJ58" s="154"/>
      <c r="FK58" s="154"/>
      <c r="FL58" s="154"/>
      <c r="FM58" s="154"/>
      <c r="FN58" s="154"/>
      <c r="FO58" s="154"/>
      <c r="FP58" s="154"/>
      <c r="FQ58" s="154"/>
      <c r="FR58" s="154"/>
      <c r="FS58" s="154"/>
      <c r="FT58" s="154"/>
      <c r="FU58" s="154"/>
      <c r="FV58" s="154"/>
      <c r="FW58" s="154"/>
      <c r="FX58" s="154"/>
      <c r="FY58" s="154"/>
      <c r="FZ58" s="154"/>
      <c r="GA58" s="154"/>
      <c r="GB58" s="154"/>
      <c r="GC58" s="154"/>
      <c r="GD58" s="154"/>
      <c r="GE58" s="154"/>
      <c r="GF58" s="154"/>
      <c r="GG58" s="154"/>
      <c r="GH58" s="154"/>
      <c r="GI58" s="154"/>
      <c r="GJ58" s="154"/>
      <c r="GK58" s="154"/>
      <c r="GL58" s="154"/>
      <c r="GM58" s="154"/>
      <c r="GN58" s="154"/>
      <c r="GO58" s="154"/>
      <c r="GP58" s="154"/>
      <c r="GQ58" s="154"/>
      <c r="GR58" s="154"/>
      <c r="GS58" s="154"/>
      <c r="GT58" s="154"/>
      <c r="GU58" s="154"/>
      <c r="GV58" s="154"/>
      <c r="GW58" s="154"/>
      <c r="GX58" s="154"/>
      <c r="GY58" s="154"/>
      <c r="GZ58" s="154"/>
      <c r="HA58" s="154"/>
      <c r="HB58" s="154"/>
      <c r="HC58" s="154"/>
      <c r="HD58" s="154"/>
      <c r="HE58" s="154"/>
      <c r="HF58" s="154"/>
      <c r="HG58" s="154"/>
      <c r="HH58" s="154"/>
      <c r="HI58" s="154"/>
      <c r="HJ58" s="154"/>
      <c r="HK58" s="154"/>
      <c r="HL58" s="154"/>
      <c r="HM58" s="154"/>
      <c r="HN58" s="154"/>
      <c r="HO58" s="154"/>
      <c r="HP58" s="154"/>
      <c r="HQ58" s="154"/>
      <c r="HR58" s="154"/>
      <c r="HS58" s="154"/>
      <c r="HT58" s="154"/>
      <c r="HU58" s="154"/>
      <c r="HV58" s="154"/>
      <c r="HW58" s="154"/>
      <c r="HX58" s="154"/>
      <c r="HY58" s="154"/>
      <c r="HZ58" s="154"/>
      <c r="IA58" s="154"/>
      <c r="IB58" s="154"/>
      <c r="IC58" s="154"/>
      <c r="ID58" s="154"/>
      <c r="IE58" s="154"/>
      <c r="IF58" s="154"/>
      <c r="IG58" s="154"/>
      <c r="IH58" s="154"/>
      <c r="II58" s="154"/>
      <c r="IJ58" s="154"/>
      <c r="IK58" s="154"/>
      <c r="IL58" s="154"/>
      <c r="IM58" s="154"/>
      <c r="IN58" s="154"/>
      <c r="IO58" s="154"/>
      <c r="IP58" s="154"/>
    </row>
    <row r="60" spans="1:250" x14ac:dyDescent="0.2">
      <c r="C60" t="s">
        <v>56</v>
      </c>
      <c r="D60" t="s">
        <v>57</v>
      </c>
    </row>
    <row r="61" spans="1:250" x14ac:dyDescent="0.2">
      <c r="B61" t="s">
        <v>58</v>
      </c>
      <c r="C61" t="s">
        <v>3</v>
      </c>
      <c r="D61" t="s">
        <v>3</v>
      </c>
    </row>
    <row r="62" spans="1:250" x14ac:dyDescent="0.2">
      <c r="B62" t="s">
        <v>42</v>
      </c>
      <c r="C62" s="108">
        <v>762.6</v>
      </c>
      <c r="D62" s="106">
        <v>719.4</v>
      </c>
    </row>
    <row r="63" spans="1:250" x14ac:dyDescent="0.2">
      <c r="B63" t="s">
        <v>59</v>
      </c>
      <c r="C63" s="108">
        <v>61</v>
      </c>
      <c r="D63" s="106">
        <v>49.5</v>
      </c>
    </row>
    <row r="64" spans="1:250" x14ac:dyDescent="0.2">
      <c r="B64" t="s">
        <v>51</v>
      </c>
      <c r="C64" s="115">
        <v>-617.6</v>
      </c>
      <c r="D64" s="106">
        <v>-634.5</v>
      </c>
    </row>
    <row r="65" spans="1:255" x14ac:dyDescent="0.2">
      <c r="B65" t="s">
        <v>60</v>
      </c>
      <c r="C65" s="117">
        <v>-1.3</v>
      </c>
      <c r="D65" s="106">
        <v>-19.899999999999999</v>
      </c>
    </row>
    <row r="66" spans="1:255" x14ac:dyDescent="0.2">
      <c r="B66" t="s">
        <v>58</v>
      </c>
      <c r="C66" s="118">
        <v>204.7</v>
      </c>
      <c r="D66" s="106">
        <v>114.6</v>
      </c>
    </row>
    <row r="70" spans="1:255" x14ac:dyDescent="0.2">
      <c r="B70" s="154" t="s">
        <v>61</v>
      </c>
      <c r="C70" s="147">
        <f>C66/C5</f>
        <v>5.0001221329294798E-2</v>
      </c>
    </row>
    <row r="75" spans="1:255" s="165" customFormat="1" ht="16" x14ac:dyDescent="0.2">
      <c r="A75"/>
      <c r="B75" s="459" t="s">
        <v>165</v>
      </c>
      <c r="C75" s="460"/>
      <c r="D75" s="460"/>
      <c r="E75" s="460"/>
      <c r="F75" s="460"/>
      <c r="G75" s="461"/>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row>
    <row r="77" spans="1:255" x14ac:dyDescent="0.2">
      <c r="B77" s="40"/>
      <c r="C77" s="2" t="s">
        <v>56</v>
      </c>
      <c r="D77" s="3" t="s">
        <v>57</v>
      </c>
    </row>
    <row r="78" spans="1:255" x14ac:dyDescent="0.2">
      <c r="B78" s="99" t="s">
        <v>62</v>
      </c>
      <c r="C78" s="50" t="s">
        <v>3</v>
      </c>
      <c r="D78" s="51" t="s">
        <v>3</v>
      </c>
    </row>
    <row r="79" spans="1:255" x14ac:dyDescent="0.2">
      <c r="B79" s="49" t="s">
        <v>63</v>
      </c>
      <c r="C79" s="52">
        <v>2771.4</v>
      </c>
      <c r="D79" s="53">
        <v>2478.4</v>
      </c>
    </row>
    <row r="80" spans="1:255" x14ac:dyDescent="0.2">
      <c r="B80" s="54" t="s">
        <v>64</v>
      </c>
      <c r="C80" s="52">
        <v>1322.4</v>
      </c>
      <c r="D80" s="53">
        <v>1199.0999999999999</v>
      </c>
    </row>
    <row r="81" spans="2:4" x14ac:dyDescent="0.2">
      <c r="B81" s="49" t="s">
        <v>65</v>
      </c>
      <c r="C81" s="52">
        <v>4093.9</v>
      </c>
      <c r="D81" s="53">
        <v>3677.5</v>
      </c>
    </row>
    <row r="82" spans="2:4" x14ac:dyDescent="0.2">
      <c r="B82" s="32"/>
      <c r="C82" s="32"/>
      <c r="D82" s="32"/>
    </row>
    <row r="85" spans="2:4" x14ac:dyDescent="0.2">
      <c r="B85" s="55"/>
      <c r="C85" s="2" t="s">
        <v>56</v>
      </c>
      <c r="D85" s="3" t="s">
        <v>57</v>
      </c>
    </row>
    <row r="86" spans="2:4" x14ac:dyDescent="0.2">
      <c r="B86" s="103" t="s">
        <v>66</v>
      </c>
      <c r="C86" s="50" t="s">
        <v>3</v>
      </c>
      <c r="D86" s="51" t="s">
        <v>3</v>
      </c>
    </row>
    <row r="87" spans="2:4" x14ac:dyDescent="0.2">
      <c r="B87" s="60" t="s">
        <v>67</v>
      </c>
      <c r="C87" s="56">
        <v>173</v>
      </c>
      <c r="D87" s="33">
        <v>170.6</v>
      </c>
    </row>
    <row r="88" spans="2:4" x14ac:dyDescent="0.2">
      <c r="B88" s="34" t="s">
        <v>68</v>
      </c>
      <c r="C88" s="57">
        <v>17.7</v>
      </c>
      <c r="D88" s="35">
        <v>19.7</v>
      </c>
    </row>
    <row r="89" spans="2:4" x14ac:dyDescent="0.2">
      <c r="B89" s="34" t="s">
        <v>69</v>
      </c>
      <c r="C89" s="57">
        <v>0.3</v>
      </c>
      <c r="D89" s="35">
        <v>9.8000000000000007</v>
      </c>
    </row>
    <row r="90" spans="2:4" x14ac:dyDescent="0.2">
      <c r="B90" s="34" t="s">
        <v>70</v>
      </c>
      <c r="C90" s="57">
        <v>11.1</v>
      </c>
      <c r="D90" s="35">
        <v>11.8</v>
      </c>
    </row>
    <row r="91" spans="2:4" x14ac:dyDescent="0.2">
      <c r="B91" s="34" t="s">
        <v>71</v>
      </c>
      <c r="C91" s="57">
        <v>14.4</v>
      </c>
      <c r="D91" s="35">
        <v>17</v>
      </c>
    </row>
    <row r="92" spans="2:4" x14ac:dyDescent="0.2">
      <c r="B92" s="34" t="s">
        <v>72</v>
      </c>
      <c r="C92" s="57">
        <v>2.2999999999999998</v>
      </c>
      <c r="D92" s="35">
        <v>2.6</v>
      </c>
    </row>
    <row r="93" spans="2:4" x14ac:dyDescent="0.2">
      <c r="B93" s="34" t="s">
        <v>73</v>
      </c>
      <c r="C93" s="57">
        <v>2.7</v>
      </c>
      <c r="D93" s="35">
        <v>6.8</v>
      </c>
    </row>
    <row r="94" spans="2:4" x14ac:dyDescent="0.2">
      <c r="B94" s="36" t="s">
        <v>74</v>
      </c>
      <c r="C94" s="58">
        <v>58.8</v>
      </c>
      <c r="D94" s="35">
        <v>50.3</v>
      </c>
    </row>
    <row r="95" spans="2:4" x14ac:dyDescent="0.2">
      <c r="B95" s="37" t="s">
        <v>75</v>
      </c>
      <c r="C95" s="59">
        <v>280.39999999999998</v>
      </c>
      <c r="D95" s="38">
        <v>288.60000000000002</v>
      </c>
    </row>
    <row r="99" spans="2:10" x14ac:dyDescent="0.2">
      <c r="B99" s="102" t="s">
        <v>76</v>
      </c>
      <c r="C99" s="47" t="s">
        <v>4</v>
      </c>
      <c r="D99" s="47" t="s">
        <v>12</v>
      </c>
      <c r="E99" s="47" t="s">
        <v>77</v>
      </c>
      <c r="F99" s="141" t="s">
        <v>78</v>
      </c>
      <c r="G99" s="141" t="s">
        <v>79</v>
      </c>
    </row>
    <row r="100" spans="2:10" x14ac:dyDescent="0.2">
      <c r="B100" s="138" t="s">
        <v>80</v>
      </c>
      <c r="C100" s="139" t="s">
        <v>81</v>
      </c>
      <c r="D100" s="139" t="s">
        <v>82</v>
      </c>
      <c r="E100" s="140">
        <v>3</v>
      </c>
      <c r="F100" s="142">
        <v>0.27900000000000003</v>
      </c>
      <c r="G100" s="142">
        <v>0.16400000000000001</v>
      </c>
      <c r="H100" s="145"/>
      <c r="J100" s="147"/>
    </row>
    <row r="101" spans="2:10" x14ac:dyDescent="0.2">
      <c r="B101" s="134" t="s">
        <v>83</v>
      </c>
      <c r="C101" s="135" t="s">
        <v>84</v>
      </c>
      <c r="D101" s="135" t="s">
        <v>84</v>
      </c>
      <c r="E101" s="132">
        <v>3</v>
      </c>
      <c r="F101" s="143">
        <v>0.19600000000000001</v>
      </c>
      <c r="G101" s="143">
        <v>0.16600000000000001</v>
      </c>
    </row>
    <row r="102" spans="2:10" x14ac:dyDescent="0.2">
      <c r="B102" s="134" t="s">
        <v>85</v>
      </c>
      <c r="C102" s="135" t="s">
        <v>86</v>
      </c>
      <c r="D102" s="135" t="s">
        <v>87</v>
      </c>
      <c r="E102" s="132">
        <v>3</v>
      </c>
      <c r="F102" s="143">
        <v>0.42499999999999999</v>
      </c>
      <c r="G102" s="143">
        <v>0.16750000000000001</v>
      </c>
    </row>
    <row r="103" spans="2:10" x14ac:dyDescent="0.2">
      <c r="B103" s="134" t="s">
        <v>88</v>
      </c>
      <c r="C103" s="135" t="s">
        <v>84</v>
      </c>
      <c r="D103" s="135" t="s">
        <v>86</v>
      </c>
      <c r="E103" s="132">
        <v>3</v>
      </c>
      <c r="F103" s="143">
        <v>8.5000000000000006E-2</v>
      </c>
      <c r="G103" s="143">
        <v>0.17349999999999999</v>
      </c>
    </row>
    <row r="104" spans="2:10" x14ac:dyDescent="0.2">
      <c r="B104" s="136" t="s">
        <v>89</v>
      </c>
      <c r="C104" s="137" t="s">
        <v>84</v>
      </c>
      <c r="D104" s="137" t="s">
        <v>87</v>
      </c>
      <c r="E104" s="133">
        <v>3</v>
      </c>
      <c r="F104" s="222">
        <v>3.0000000000000001E-3</v>
      </c>
      <c r="G104" s="143">
        <v>0.151</v>
      </c>
    </row>
    <row r="105" spans="2:10" x14ac:dyDescent="0.2">
      <c r="B105" s="136" t="s">
        <v>90</v>
      </c>
      <c r="C105" s="137" t="s">
        <v>82</v>
      </c>
      <c r="D105" s="137" t="s">
        <v>82</v>
      </c>
      <c r="E105" s="133">
        <v>3</v>
      </c>
      <c r="F105" s="144">
        <v>1.2E-2</v>
      </c>
      <c r="G105" s="143">
        <v>0.19400000000000001</v>
      </c>
    </row>
    <row r="107" spans="2:10" x14ac:dyDescent="0.2">
      <c r="B107" s="146" t="s">
        <v>91</v>
      </c>
      <c r="C107" s="146" t="s">
        <v>92</v>
      </c>
      <c r="D107">
        <v>1</v>
      </c>
      <c r="F107" s="164"/>
    </row>
    <row r="108" spans="2:10" x14ac:dyDescent="0.2">
      <c r="C108" s="146" t="s">
        <v>93</v>
      </c>
      <c r="D108">
        <v>2</v>
      </c>
    </row>
    <row r="109" spans="2:10" x14ac:dyDescent="0.2">
      <c r="C109" s="146" t="s">
        <v>94</v>
      </c>
      <c r="D109">
        <v>3</v>
      </c>
    </row>
    <row r="110" spans="2:10" x14ac:dyDescent="0.2">
      <c r="C110" s="146" t="s">
        <v>95</v>
      </c>
      <c r="D110">
        <v>4</v>
      </c>
    </row>
    <row r="111" spans="2:10" x14ac:dyDescent="0.2">
      <c r="C111" s="146" t="s">
        <v>96</v>
      </c>
      <c r="D111">
        <v>5</v>
      </c>
    </row>
    <row r="115" spans="1:250" s="165" customFormat="1" ht="16" x14ac:dyDescent="0.2">
      <c r="A115"/>
      <c r="B115" s="459" t="s">
        <v>97</v>
      </c>
      <c r="C115" s="460"/>
      <c r="D115" s="460"/>
      <c r="E115" s="460"/>
      <c r="F115" s="461"/>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row>
    <row r="117" spans="1:250" x14ac:dyDescent="0.2">
      <c r="B117" s="99" t="s">
        <v>98</v>
      </c>
      <c r="C117" s="50" t="s">
        <v>99</v>
      </c>
      <c r="D117" s="51" t="s">
        <v>100</v>
      </c>
    </row>
    <row r="118" spans="1:250" x14ac:dyDescent="0.2">
      <c r="B118" s="54" t="s">
        <v>101</v>
      </c>
      <c r="C118" s="61">
        <v>0.02</v>
      </c>
      <c r="D118" s="62">
        <v>1.4999999999999999E-2</v>
      </c>
    </row>
    <row r="119" spans="1:250" x14ac:dyDescent="0.2">
      <c r="B119" s="54" t="s">
        <v>102</v>
      </c>
      <c r="C119" s="61">
        <v>7.4999999999999997E-2</v>
      </c>
      <c r="D119" s="62">
        <v>0.08</v>
      </c>
      <c r="F119" s="163"/>
    </row>
    <row r="120" spans="1:250" x14ac:dyDescent="0.2">
      <c r="B120" s="54" t="s">
        <v>103</v>
      </c>
      <c r="C120" s="74">
        <v>1</v>
      </c>
      <c r="D120" s="75">
        <v>0.9</v>
      </c>
    </row>
    <row r="121" spans="1:250" x14ac:dyDescent="0.2">
      <c r="B121" s="54" t="s">
        <v>104</v>
      </c>
      <c r="C121" s="61" t="s">
        <v>105</v>
      </c>
      <c r="D121" s="62">
        <v>0.28599999999999998</v>
      </c>
    </row>
    <row r="122" spans="1:250" x14ac:dyDescent="0.2">
      <c r="B122" s="54" t="s">
        <v>106</v>
      </c>
      <c r="C122" s="61">
        <v>9.2999999999999999E-2</v>
      </c>
      <c r="D122" s="62">
        <v>9.0999999999999998E-2</v>
      </c>
    </row>
    <row r="123" spans="1:250" x14ac:dyDescent="0.2">
      <c r="B123" s="179" t="s">
        <v>107</v>
      </c>
      <c r="C123" s="164">
        <f>C120*C119+C118</f>
        <v>9.5000000000000001E-2</v>
      </c>
    </row>
    <row r="128" spans="1:250" x14ac:dyDescent="0.2">
      <c r="B128" s="41"/>
      <c r="C128" s="43" t="s">
        <v>108</v>
      </c>
      <c r="D128" s="45" t="s">
        <v>109</v>
      </c>
      <c r="E128" s="45" t="s">
        <v>110</v>
      </c>
    </row>
    <row r="129" spans="2:6" x14ac:dyDescent="0.2">
      <c r="B129" s="98" t="s">
        <v>111</v>
      </c>
      <c r="C129" s="68" t="s">
        <v>3</v>
      </c>
      <c r="D129" s="68" t="s">
        <v>112</v>
      </c>
      <c r="E129" s="68" t="s">
        <v>113</v>
      </c>
    </row>
    <row r="130" spans="2:6" ht="16" x14ac:dyDescent="0.2">
      <c r="B130" s="69" t="s">
        <v>114</v>
      </c>
      <c r="C130" s="63">
        <v>1305</v>
      </c>
      <c r="D130" s="64">
        <v>0.06</v>
      </c>
      <c r="E130" s="72">
        <v>46120</v>
      </c>
      <c r="F130">
        <f>C130*D130</f>
        <v>78.3</v>
      </c>
    </row>
    <row r="131" spans="2:6" ht="16" x14ac:dyDescent="0.2">
      <c r="B131" s="18" t="s">
        <v>115</v>
      </c>
      <c r="C131" s="19">
        <v>567.4</v>
      </c>
      <c r="D131" s="73">
        <v>8.2500000000000004E-2</v>
      </c>
      <c r="E131" s="72">
        <v>46296</v>
      </c>
      <c r="F131">
        <f t="shared" ref="F131:F133" si="0">C131*D131</f>
        <v>46.810499999999998</v>
      </c>
    </row>
    <row r="132" spans="2:6" ht="16" x14ac:dyDescent="0.2">
      <c r="B132" s="18" t="s">
        <v>116</v>
      </c>
      <c r="C132" s="19">
        <v>675</v>
      </c>
      <c r="D132" s="65">
        <v>9.1800000000000007E-2</v>
      </c>
      <c r="E132" s="72">
        <v>46120</v>
      </c>
      <c r="F132">
        <f t="shared" si="0"/>
        <v>61.965000000000003</v>
      </c>
    </row>
    <row r="133" spans="2:6" ht="16" x14ac:dyDescent="0.2">
      <c r="B133" s="20" t="s">
        <v>117</v>
      </c>
      <c r="C133" s="21">
        <v>170</v>
      </c>
      <c r="D133" s="66">
        <v>4.4999999999999998E-2</v>
      </c>
      <c r="E133" s="72">
        <v>46030</v>
      </c>
      <c r="F133">
        <f t="shared" si="0"/>
        <v>7.6499999999999995</v>
      </c>
    </row>
    <row r="134" spans="2:6" x14ac:dyDescent="0.2">
      <c r="B134" s="6" t="s">
        <v>75</v>
      </c>
      <c r="C134" s="67">
        <v>2717.4</v>
      </c>
      <c r="D134" s="70"/>
      <c r="E134" s="71"/>
      <c r="F134" s="76"/>
    </row>
    <row r="135" spans="2:6" x14ac:dyDescent="0.2">
      <c r="B135" s="101" t="s">
        <v>242</v>
      </c>
      <c r="C135" s="162">
        <f>SUM(F130:F133)/C134</f>
        <v>7.1658754691984988E-2</v>
      </c>
      <c r="F135" s="77"/>
    </row>
    <row r="137" spans="2:6" x14ac:dyDescent="0.2">
      <c r="B137" s="76"/>
      <c r="C137" s="76"/>
      <c r="D137" s="76"/>
      <c r="E137" s="76"/>
    </row>
    <row r="138" spans="2:6" x14ac:dyDescent="0.2">
      <c r="B138" s="41"/>
      <c r="C138" s="43" t="s">
        <v>118</v>
      </c>
      <c r="D138" s="44" t="s">
        <v>119</v>
      </c>
      <c r="E138" s="77"/>
    </row>
    <row r="139" spans="2:6" x14ac:dyDescent="0.2">
      <c r="B139" s="100" t="s">
        <v>120</v>
      </c>
      <c r="C139" s="47" t="s">
        <v>3</v>
      </c>
      <c r="D139" s="48" t="s">
        <v>3</v>
      </c>
      <c r="E139" s="39"/>
    </row>
    <row r="140" spans="2:6" x14ac:dyDescent="0.2">
      <c r="B140" s="15" t="s">
        <v>114</v>
      </c>
      <c r="C140" s="97">
        <v>1332.7</v>
      </c>
      <c r="D140" s="14">
        <v>1329.8</v>
      </c>
      <c r="E140" s="1"/>
    </row>
    <row r="141" spans="2:6" x14ac:dyDescent="0.2">
      <c r="B141" s="18" t="s">
        <v>115</v>
      </c>
      <c r="C141" s="88">
        <v>590.4</v>
      </c>
      <c r="D141" s="8">
        <v>542.9</v>
      </c>
      <c r="E141" s="31"/>
    </row>
    <row r="142" spans="2:6" x14ac:dyDescent="0.2">
      <c r="B142" s="18" t="s">
        <v>121</v>
      </c>
      <c r="C142" s="88">
        <v>683.8</v>
      </c>
      <c r="D142" s="8">
        <v>672.5</v>
      </c>
      <c r="E142" s="31"/>
    </row>
    <row r="143" spans="2:6" x14ac:dyDescent="0.2">
      <c r="B143" s="18" t="s">
        <v>122</v>
      </c>
      <c r="C143" s="88">
        <v>-2.4</v>
      </c>
      <c r="D143" s="8">
        <v>-3.6</v>
      </c>
      <c r="E143" s="31"/>
    </row>
    <row r="144" spans="2:6" x14ac:dyDescent="0.2">
      <c r="B144" s="20" t="s">
        <v>123</v>
      </c>
      <c r="C144" s="89">
        <v>1.1000000000000001</v>
      </c>
      <c r="D144" s="8">
        <v>1.2</v>
      </c>
      <c r="E144" s="31"/>
    </row>
    <row r="145" spans="1:250" x14ac:dyDescent="0.2">
      <c r="B145" s="6" t="s">
        <v>124</v>
      </c>
      <c r="C145" s="90">
        <v>2605.6</v>
      </c>
      <c r="D145" s="91">
        <v>2542.8000000000002</v>
      </c>
      <c r="E145" s="78"/>
    </row>
    <row r="146" spans="1:250" x14ac:dyDescent="0.2">
      <c r="B146" s="6" t="s">
        <v>125</v>
      </c>
      <c r="C146" s="90">
        <v>1080.3</v>
      </c>
      <c r="D146" s="91">
        <v>1130.2</v>
      </c>
      <c r="E146" s="78"/>
    </row>
    <row r="147" spans="1:250" x14ac:dyDescent="0.2">
      <c r="B147" s="6" t="s">
        <v>75</v>
      </c>
      <c r="C147" s="92">
        <v>3685.9</v>
      </c>
      <c r="D147" s="93">
        <v>3673</v>
      </c>
      <c r="E147" s="31"/>
    </row>
    <row r="148" spans="1:250" x14ac:dyDescent="0.2">
      <c r="B148" s="6" t="s">
        <v>50</v>
      </c>
      <c r="C148" s="94">
        <v>262.3</v>
      </c>
      <c r="D148" s="8">
        <v>245.3</v>
      </c>
      <c r="E148" s="31"/>
    </row>
    <row r="149" spans="1:250" x14ac:dyDescent="0.2">
      <c r="B149" s="9" t="s">
        <v>126</v>
      </c>
      <c r="C149" s="95">
        <v>3423.6</v>
      </c>
      <c r="D149" s="96">
        <v>3427.7</v>
      </c>
      <c r="E149" s="1"/>
    </row>
    <row r="152" spans="1:250" s="165" customFormat="1" ht="16" x14ac:dyDescent="0.2">
      <c r="A152"/>
      <c r="B152" s="459" t="s">
        <v>127</v>
      </c>
      <c r="C152" s="460"/>
      <c r="D152" s="460"/>
      <c r="E152" s="460"/>
      <c r="F152" s="461"/>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row>
    <row r="153" spans="1:250" x14ac:dyDescent="0.2">
      <c r="B153" s="81" t="s">
        <v>128</v>
      </c>
      <c r="C153" t="s">
        <v>129</v>
      </c>
      <c r="D153" s="27" t="s">
        <v>1</v>
      </c>
      <c r="E153" s="28" t="s">
        <v>2</v>
      </c>
    </row>
    <row r="154" spans="1:250" x14ac:dyDescent="0.2">
      <c r="B154" s="81"/>
      <c r="C154" s="104" t="s">
        <v>130</v>
      </c>
      <c r="D154" s="47" t="s">
        <v>3</v>
      </c>
      <c r="E154" s="48" t="s">
        <v>3</v>
      </c>
    </row>
    <row r="155" spans="1:250" x14ac:dyDescent="0.2">
      <c r="B155" s="457" t="s">
        <v>131</v>
      </c>
      <c r="C155" s="457"/>
      <c r="D155" s="16">
        <v>16.7</v>
      </c>
      <c r="E155" s="17">
        <v>-313.7</v>
      </c>
    </row>
    <row r="156" spans="1:250" x14ac:dyDescent="0.2">
      <c r="B156" s="29" t="s">
        <v>132</v>
      </c>
      <c r="C156" s="181" t="s">
        <v>20</v>
      </c>
      <c r="D156" s="19">
        <v>48.7</v>
      </c>
      <c r="E156" s="8">
        <v>-43.2</v>
      </c>
    </row>
    <row r="157" spans="1:250" x14ac:dyDescent="0.2">
      <c r="B157" s="29" t="s">
        <v>132</v>
      </c>
      <c r="C157" s="181" t="s">
        <v>18</v>
      </c>
      <c r="D157" s="19">
        <v>271.7</v>
      </c>
      <c r="E157" s="8">
        <v>306.2</v>
      </c>
    </row>
    <row r="158" spans="1:250" x14ac:dyDescent="0.2">
      <c r="B158" s="46" t="s">
        <v>132</v>
      </c>
      <c r="C158" s="182" t="s">
        <v>14</v>
      </c>
      <c r="D158" s="83">
        <v>345.9</v>
      </c>
      <c r="E158" s="84">
        <v>580.79999999999995</v>
      </c>
    </row>
    <row r="159" spans="1:250" x14ac:dyDescent="0.2">
      <c r="B159" s="29" t="s">
        <v>133</v>
      </c>
      <c r="C159" s="183" t="s">
        <v>12</v>
      </c>
      <c r="D159" s="42">
        <v>683</v>
      </c>
      <c r="E159" s="82">
        <v>530</v>
      </c>
    </row>
    <row r="160" spans="1:250" x14ac:dyDescent="0.2">
      <c r="B160" s="29" t="s">
        <v>134</v>
      </c>
      <c r="C160" s="181" t="s">
        <v>135</v>
      </c>
      <c r="D160" s="19">
        <v>-4.8</v>
      </c>
      <c r="E160" s="17">
        <v>-28.6</v>
      </c>
    </row>
    <row r="161" spans="2:5" x14ac:dyDescent="0.2">
      <c r="B161" s="29" t="s">
        <v>134</v>
      </c>
      <c r="C161" s="181" t="s">
        <v>136</v>
      </c>
      <c r="D161" s="19">
        <v>12</v>
      </c>
      <c r="E161" s="8">
        <v>1.8</v>
      </c>
    </row>
    <row r="162" spans="2:5" x14ac:dyDescent="0.2">
      <c r="B162" s="29" t="s">
        <v>134</v>
      </c>
      <c r="C162" s="181" t="s">
        <v>137</v>
      </c>
      <c r="D162" s="19">
        <v>-0.2</v>
      </c>
      <c r="E162" s="8">
        <v>-9.3000000000000007</v>
      </c>
    </row>
    <row r="163" spans="2:5" ht="30" x14ac:dyDescent="0.2">
      <c r="B163" s="5" t="s">
        <v>138</v>
      </c>
      <c r="C163" s="181" t="s">
        <v>139</v>
      </c>
      <c r="D163" s="79">
        <v>-87.8</v>
      </c>
      <c r="E163" s="80">
        <v>53.7</v>
      </c>
    </row>
    <row r="164" spans="2:5" ht="30" x14ac:dyDescent="0.2">
      <c r="B164" s="5" t="s">
        <v>138</v>
      </c>
      <c r="C164" s="181" t="s">
        <v>140</v>
      </c>
      <c r="D164" s="79">
        <v>15.5</v>
      </c>
      <c r="E164" s="80">
        <v>-27.1</v>
      </c>
    </row>
    <row r="165" spans="2:5" ht="30" x14ac:dyDescent="0.2">
      <c r="B165" s="46" t="s">
        <v>141</v>
      </c>
      <c r="C165" s="182" t="s">
        <v>142</v>
      </c>
      <c r="D165" s="83">
        <v>-33.1</v>
      </c>
      <c r="E165" s="84">
        <v>-52.4</v>
      </c>
    </row>
    <row r="166" spans="2:5" x14ac:dyDescent="0.2">
      <c r="B166" s="29" t="s">
        <v>133</v>
      </c>
      <c r="C166" s="183" t="s">
        <v>143</v>
      </c>
      <c r="D166" s="19">
        <v>584.70000000000005</v>
      </c>
      <c r="E166" s="82">
        <v>468.1</v>
      </c>
    </row>
    <row r="167" spans="2:5" x14ac:dyDescent="0.2">
      <c r="B167" s="29" t="s">
        <v>132</v>
      </c>
      <c r="C167" s="181" t="s">
        <v>144</v>
      </c>
      <c r="D167" s="16">
        <v>5.4</v>
      </c>
      <c r="E167" s="17">
        <v>8.3000000000000007</v>
      </c>
    </row>
    <row r="168" spans="2:5" x14ac:dyDescent="0.2">
      <c r="B168" s="29" t="s">
        <v>145</v>
      </c>
      <c r="C168" s="181" t="s">
        <v>146</v>
      </c>
      <c r="D168" s="19">
        <v>-109.5</v>
      </c>
      <c r="E168" s="8">
        <v>-85.6</v>
      </c>
    </row>
    <row r="169" spans="2:5" ht="30" x14ac:dyDescent="0.2">
      <c r="B169" s="29" t="s">
        <v>145</v>
      </c>
      <c r="C169" s="181" t="s">
        <v>147</v>
      </c>
      <c r="D169" s="21">
        <v>0</v>
      </c>
      <c r="E169" s="8">
        <v>-24.2</v>
      </c>
    </row>
    <row r="170" spans="2:5" x14ac:dyDescent="0.2">
      <c r="B170" s="46" t="s">
        <v>133</v>
      </c>
      <c r="C170" s="184" t="s">
        <v>148</v>
      </c>
      <c r="D170" s="86">
        <v>-104.1</v>
      </c>
      <c r="E170" s="84">
        <v>-101.5</v>
      </c>
    </row>
    <row r="171" spans="2:5" ht="30" x14ac:dyDescent="0.2">
      <c r="B171" s="458" t="s">
        <v>145</v>
      </c>
      <c r="C171" s="183" t="s">
        <v>149</v>
      </c>
      <c r="D171" s="42">
        <v>480.6</v>
      </c>
      <c r="E171" s="82">
        <v>366.6</v>
      </c>
    </row>
    <row r="172" spans="2:5" x14ac:dyDescent="0.2">
      <c r="B172" s="458"/>
      <c r="C172" s="181" t="s">
        <v>150</v>
      </c>
      <c r="D172" s="16">
        <v>-24.5</v>
      </c>
      <c r="E172" s="17">
        <v>-13.1</v>
      </c>
    </row>
    <row r="173" spans="2:5" x14ac:dyDescent="0.2">
      <c r="B173" s="29" t="s">
        <v>145</v>
      </c>
      <c r="C173" s="181" t="s">
        <v>151</v>
      </c>
      <c r="D173" s="19">
        <v>-254.1</v>
      </c>
      <c r="E173" s="8">
        <v>-259.89999999999998</v>
      </c>
    </row>
    <row r="174" spans="2:5" x14ac:dyDescent="0.2">
      <c r="B174" s="29" t="s">
        <v>132</v>
      </c>
      <c r="C174" s="181" t="s">
        <v>152</v>
      </c>
      <c r="D174" s="19">
        <v>0</v>
      </c>
      <c r="E174" s="8">
        <v>76</v>
      </c>
    </row>
    <row r="175" spans="2:5" ht="30" x14ac:dyDescent="0.2">
      <c r="B175" s="29" t="s">
        <v>145</v>
      </c>
      <c r="C175" s="181" t="s">
        <v>153</v>
      </c>
      <c r="D175" s="19">
        <v>0</v>
      </c>
      <c r="E175" s="8">
        <v>-3.6</v>
      </c>
    </row>
    <row r="176" spans="2:5" x14ac:dyDescent="0.2">
      <c r="B176" s="29" t="s">
        <v>145</v>
      </c>
      <c r="C176" s="181" t="s">
        <v>154</v>
      </c>
      <c r="D176" s="19">
        <v>-188.1</v>
      </c>
      <c r="E176" s="8">
        <v>-160.19999999999999</v>
      </c>
    </row>
    <row r="177" spans="2:5" x14ac:dyDescent="0.2">
      <c r="B177" s="46" t="s">
        <v>132</v>
      </c>
      <c r="C177" s="182" t="s">
        <v>155</v>
      </c>
      <c r="D177" s="83">
        <v>1.1000000000000001</v>
      </c>
      <c r="E177" s="84">
        <v>0.3</v>
      </c>
    </row>
    <row r="178" spans="2:5" x14ac:dyDescent="0.2">
      <c r="B178" s="457" t="s">
        <v>156</v>
      </c>
      <c r="C178" s="183" t="s">
        <v>157</v>
      </c>
      <c r="D178" s="42">
        <v>-465.6</v>
      </c>
      <c r="E178" s="82">
        <v>-360.4</v>
      </c>
    </row>
    <row r="179" spans="2:5" x14ac:dyDescent="0.2">
      <c r="B179" s="457"/>
      <c r="C179" s="181" t="s">
        <v>158</v>
      </c>
      <c r="D179" s="19">
        <v>15</v>
      </c>
      <c r="E179" s="17">
        <v>6.2</v>
      </c>
    </row>
    <row r="180" spans="2:5" ht="30" x14ac:dyDescent="0.2">
      <c r="B180" s="29" t="s">
        <v>134</v>
      </c>
      <c r="C180" s="181" t="s">
        <v>159</v>
      </c>
      <c r="D180" s="19">
        <v>2</v>
      </c>
      <c r="E180" s="8">
        <v>-1.4</v>
      </c>
    </row>
    <row r="181" spans="2:5" ht="30" x14ac:dyDescent="0.2">
      <c r="B181" s="46" t="s">
        <v>160</v>
      </c>
      <c r="C181" s="182" t="s">
        <v>161</v>
      </c>
      <c r="D181" s="83">
        <v>245.3</v>
      </c>
      <c r="E181" s="84">
        <v>240.4</v>
      </c>
    </row>
    <row r="182" spans="2:5" ht="30" x14ac:dyDescent="0.2">
      <c r="B182" s="29" t="s">
        <v>162</v>
      </c>
      <c r="C182" s="185" t="s">
        <v>163</v>
      </c>
      <c r="D182" s="30">
        <v>262.3</v>
      </c>
      <c r="E182" s="87">
        <v>245.3</v>
      </c>
    </row>
  </sheetData>
  <mergeCells count="9">
    <mergeCell ref="B155:C155"/>
    <mergeCell ref="B171:B172"/>
    <mergeCell ref="B178:B179"/>
    <mergeCell ref="B2:D2"/>
    <mergeCell ref="B58:D58"/>
    <mergeCell ref="B30:J30"/>
    <mergeCell ref="B75:G75"/>
    <mergeCell ref="B115:F115"/>
    <mergeCell ref="B152:F1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E17DB-A8FD-EC4E-8CB5-111742A3AC5C}">
  <dimension ref="A1:AA120"/>
  <sheetViews>
    <sheetView zoomScale="88" zoomScaleNormal="88" workbookViewId="0">
      <selection activeCell="B2" sqref="B2:T4"/>
    </sheetView>
  </sheetViews>
  <sheetFormatPr baseColWidth="10" defaultColWidth="11.5" defaultRowHeight="15" x14ac:dyDescent="0.2"/>
  <cols>
    <col min="2" max="2" width="12.5" customWidth="1"/>
    <col min="8" max="8" width="8.6640625" bestFit="1" customWidth="1"/>
  </cols>
  <sheetData>
    <row r="1" spans="1:20" ht="14.5" customHeight="1" x14ac:dyDescent="0.2">
      <c r="D1" s="264"/>
      <c r="E1" s="264"/>
      <c r="F1" s="264"/>
      <c r="G1" s="264"/>
      <c r="H1" s="264"/>
      <c r="I1" s="264"/>
      <c r="J1" s="264"/>
      <c r="K1" s="264"/>
      <c r="L1" s="264"/>
      <c r="M1" s="264"/>
      <c r="N1" s="173"/>
      <c r="O1" s="173"/>
      <c r="P1" s="173"/>
    </row>
    <row r="2" spans="1:20" ht="14.5" customHeight="1" x14ac:dyDescent="0.2">
      <c r="B2" s="485" t="s">
        <v>164</v>
      </c>
      <c r="C2" s="486"/>
      <c r="D2" s="486"/>
      <c r="E2" s="486"/>
      <c r="F2" s="486"/>
      <c r="G2" s="486"/>
      <c r="H2" s="486"/>
      <c r="I2" s="486"/>
      <c r="J2" s="486"/>
      <c r="K2" s="486"/>
      <c r="L2" s="486"/>
      <c r="M2" s="486"/>
      <c r="N2" s="486"/>
      <c r="O2" s="486"/>
      <c r="P2" s="486"/>
      <c r="Q2" s="486"/>
      <c r="R2" s="486"/>
      <c r="S2" s="486"/>
      <c r="T2" s="487"/>
    </row>
    <row r="3" spans="1:20" ht="15" customHeight="1" x14ac:dyDescent="0.2">
      <c r="A3" s="172"/>
      <c r="B3" s="488"/>
      <c r="C3" s="489"/>
      <c r="D3" s="489"/>
      <c r="E3" s="489"/>
      <c r="F3" s="489"/>
      <c r="G3" s="489"/>
      <c r="H3" s="489"/>
      <c r="I3" s="489"/>
      <c r="J3" s="489"/>
      <c r="K3" s="489"/>
      <c r="L3" s="489"/>
      <c r="M3" s="489"/>
      <c r="N3" s="489"/>
      <c r="O3" s="489"/>
      <c r="P3" s="489"/>
      <c r="Q3" s="489"/>
      <c r="R3" s="489"/>
      <c r="S3" s="489"/>
      <c r="T3" s="490"/>
    </row>
    <row r="4" spans="1:20" ht="14.5" customHeight="1" x14ac:dyDescent="0.2">
      <c r="B4" s="491"/>
      <c r="C4" s="492"/>
      <c r="D4" s="492"/>
      <c r="E4" s="492"/>
      <c r="F4" s="492"/>
      <c r="G4" s="492"/>
      <c r="H4" s="492"/>
      <c r="I4" s="492"/>
      <c r="J4" s="492"/>
      <c r="K4" s="492"/>
      <c r="L4" s="492"/>
      <c r="M4" s="492"/>
      <c r="N4" s="492"/>
      <c r="O4" s="492"/>
      <c r="P4" s="492"/>
      <c r="Q4" s="492"/>
      <c r="R4" s="492"/>
      <c r="S4" s="492"/>
      <c r="T4" s="493"/>
    </row>
    <row r="5" spans="1:20" ht="20" x14ac:dyDescent="0.2">
      <c r="A5" s="253"/>
      <c r="B5" s="173"/>
      <c r="C5" s="173"/>
      <c r="D5" s="173"/>
      <c r="E5" s="264"/>
      <c r="F5" s="264"/>
      <c r="G5" s="264"/>
      <c r="H5" s="264"/>
      <c r="I5" s="173"/>
      <c r="J5" s="173"/>
      <c r="K5" s="173"/>
      <c r="L5" s="173"/>
      <c r="M5" s="173"/>
      <c r="N5" s="173"/>
      <c r="P5" s="172"/>
    </row>
    <row r="6" spans="1:20" ht="20" x14ac:dyDescent="0.2">
      <c r="A6" s="253"/>
      <c r="B6" s="173"/>
      <c r="C6" s="173"/>
      <c r="D6" s="173"/>
      <c r="E6" s="265"/>
      <c r="F6" s="265"/>
      <c r="G6" s="265"/>
      <c r="H6" s="265"/>
      <c r="I6" s="173"/>
      <c r="J6" s="173"/>
      <c r="K6" s="173"/>
      <c r="L6" s="173"/>
      <c r="M6" s="173"/>
      <c r="N6" s="173"/>
      <c r="P6" s="172"/>
    </row>
    <row r="7" spans="1:20" ht="15" customHeight="1" x14ac:dyDescent="0.2">
      <c r="E7" s="484" t="s">
        <v>266</v>
      </c>
      <c r="F7" s="484"/>
      <c r="G7" s="484"/>
      <c r="H7" s="484"/>
      <c r="I7" s="484"/>
      <c r="J7" s="484"/>
      <c r="K7" s="484"/>
      <c r="L7" s="484"/>
      <c r="M7" s="484"/>
      <c r="N7" s="484"/>
      <c r="O7" s="484"/>
      <c r="P7" s="484"/>
      <c r="Q7" s="484"/>
      <c r="R7" s="484"/>
      <c r="S7" s="484"/>
      <c r="T7" s="484"/>
    </row>
    <row r="8" spans="1:20" ht="15" customHeight="1" thickBot="1" x14ac:dyDescent="0.25">
      <c r="E8" s="484"/>
      <c r="F8" s="484"/>
      <c r="G8" s="484"/>
      <c r="H8" s="484"/>
      <c r="I8" s="484"/>
      <c r="J8" s="484"/>
      <c r="K8" s="484"/>
      <c r="L8" s="484"/>
      <c r="M8" s="484"/>
      <c r="N8" s="484"/>
      <c r="O8" s="484"/>
      <c r="P8" s="484"/>
      <c r="Q8" s="484"/>
      <c r="R8" s="484"/>
      <c r="S8" s="484"/>
      <c r="T8" s="484"/>
    </row>
    <row r="9" spans="1:20" ht="16" customHeight="1" x14ac:dyDescent="0.2">
      <c r="B9" s="479" t="s">
        <v>261</v>
      </c>
      <c r="C9" s="480"/>
      <c r="D9" s="480"/>
      <c r="E9" s="484"/>
      <c r="F9" s="484"/>
      <c r="G9" s="484"/>
      <c r="H9" s="484"/>
      <c r="I9" s="484"/>
      <c r="J9" s="484"/>
      <c r="K9" s="484"/>
      <c r="L9" s="484"/>
      <c r="M9" s="484"/>
      <c r="N9" s="484"/>
      <c r="O9" s="484"/>
      <c r="P9" s="484"/>
      <c r="Q9" s="484"/>
      <c r="R9" s="484"/>
      <c r="S9" s="484"/>
      <c r="T9" s="484"/>
    </row>
    <row r="10" spans="1:20" x14ac:dyDescent="0.2">
      <c r="A10" s="254"/>
      <c r="B10" s="481"/>
      <c r="C10" s="476"/>
      <c r="D10" s="476"/>
      <c r="E10" s="484"/>
      <c r="F10" s="484"/>
      <c r="G10" s="484"/>
      <c r="H10" s="484"/>
      <c r="I10" s="484"/>
      <c r="J10" s="484"/>
      <c r="K10" s="484"/>
      <c r="L10" s="484"/>
      <c r="M10" s="484"/>
      <c r="N10" s="484"/>
      <c r="O10" s="484"/>
      <c r="P10" s="484"/>
      <c r="Q10" s="484"/>
      <c r="R10" s="484"/>
      <c r="S10" s="484"/>
      <c r="T10" s="484"/>
    </row>
    <row r="11" spans="1:20" ht="16" thickBot="1" x14ac:dyDescent="0.25">
      <c r="A11" s="254"/>
      <c r="B11" s="482"/>
      <c r="C11" s="483"/>
      <c r="D11" s="483"/>
      <c r="E11" s="484"/>
      <c r="F11" s="484"/>
      <c r="G11" s="484"/>
      <c r="H11" s="484"/>
      <c r="I11" s="484"/>
      <c r="J11" s="484"/>
      <c r="K11" s="484"/>
      <c r="L11" s="484"/>
      <c r="M11" s="484"/>
      <c r="N11" s="484"/>
      <c r="O11" s="484"/>
      <c r="P11" s="484"/>
      <c r="Q11" s="484"/>
      <c r="R11" s="484"/>
      <c r="S11" s="484"/>
      <c r="T11" s="484"/>
    </row>
    <row r="12" spans="1:20" ht="18" customHeight="1" x14ac:dyDescent="0.2">
      <c r="B12" s="356"/>
      <c r="C12" s="357"/>
      <c r="D12" s="173"/>
      <c r="E12" s="484"/>
      <c r="F12" s="484"/>
      <c r="G12" s="484"/>
      <c r="H12" s="484"/>
      <c r="I12" s="484"/>
      <c r="J12" s="484"/>
      <c r="K12" s="484"/>
      <c r="L12" s="484"/>
      <c r="M12" s="484"/>
      <c r="N12" s="484"/>
      <c r="O12" s="484"/>
      <c r="P12" s="484"/>
      <c r="Q12" s="484"/>
      <c r="R12" s="484"/>
      <c r="S12" s="484"/>
      <c r="T12" s="484"/>
    </row>
    <row r="13" spans="1:20" ht="18" customHeight="1" x14ac:dyDescent="0.2">
      <c r="D13" s="254"/>
      <c r="E13" s="484"/>
      <c r="F13" s="484"/>
      <c r="G13" s="484"/>
      <c r="H13" s="484"/>
      <c r="I13" s="484"/>
      <c r="J13" s="484"/>
      <c r="K13" s="484"/>
      <c r="L13" s="484"/>
      <c r="M13" s="484"/>
      <c r="N13" s="484"/>
      <c r="O13" s="484"/>
      <c r="P13" s="484"/>
      <c r="Q13" s="484"/>
      <c r="R13" s="484"/>
      <c r="S13" s="484"/>
      <c r="T13" s="484"/>
    </row>
    <row r="14" spans="1:20" ht="15" customHeight="1" x14ac:dyDescent="0.2">
      <c r="D14" s="254"/>
      <c r="F14" s="358"/>
      <c r="G14" s="358"/>
      <c r="H14" s="358"/>
      <c r="I14" s="358"/>
      <c r="J14" s="358"/>
      <c r="K14" s="358"/>
      <c r="L14" s="358"/>
      <c r="M14" s="358"/>
      <c r="N14" s="358"/>
      <c r="O14" s="358"/>
      <c r="P14" s="358"/>
      <c r="Q14" s="358"/>
      <c r="R14" s="358"/>
      <c r="S14" s="358"/>
      <c r="T14" s="359"/>
    </row>
    <row r="15" spans="1:20" ht="15" customHeight="1" thickBot="1" x14ac:dyDescent="0.25">
      <c r="E15" s="495" t="s">
        <v>324</v>
      </c>
      <c r="F15" s="495"/>
      <c r="G15" s="495"/>
      <c r="H15" s="495"/>
      <c r="I15" s="495"/>
      <c r="J15" s="495"/>
      <c r="K15" s="495"/>
      <c r="L15" s="495"/>
      <c r="M15" s="495"/>
      <c r="N15" s="495"/>
      <c r="O15" s="495"/>
      <c r="P15" s="495"/>
      <c r="Q15" s="495"/>
      <c r="R15" s="495"/>
      <c r="S15" s="495"/>
      <c r="T15" s="495"/>
    </row>
    <row r="16" spans="1:20" ht="15" customHeight="1" x14ac:dyDescent="0.2">
      <c r="B16" s="479" t="s">
        <v>323</v>
      </c>
      <c r="C16" s="480"/>
      <c r="D16" s="480"/>
      <c r="E16" s="495"/>
      <c r="F16" s="495"/>
      <c r="G16" s="495"/>
      <c r="H16" s="495"/>
      <c r="I16" s="495"/>
      <c r="J16" s="495"/>
      <c r="K16" s="495"/>
      <c r="L16" s="495"/>
      <c r="M16" s="495"/>
      <c r="N16" s="495"/>
      <c r="O16" s="495"/>
      <c r="P16" s="495"/>
      <c r="Q16" s="495"/>
      <c r="R16" s="495"/>
      <c r="S16" s="495"/>
      <c r="T16" s="495"/>
    </row>
    <row r="17" spans="1:20" ht="16" customHeight="1" x14ac:dyDescent="0.2">
      <c r="B17" s="481"/>
      <c r="C17" s="476"/>
      <c r="D17" s="476"/>
      <c r="E17" s="495"/>
      <c r="F17" s="495"/>
      <c r="G17" s="495"/>
      <c r="H17" s="495"/>
      <c r="I17" s="495"/>
      <c r="J17" s="495"/>
      <c r="K17" s="495"/>
      <c r="L17" s="495"/>
      <c r="M17" s="495"/>
      <c r="N17" s="495"/>
      <c r="O17" s="495"/>
      <c r="P17" s="495"/>
      <c r="Q17" s="495"/>
      <c r="R17" s="495"/>
      <c r="S17" s="495"/>
      <c r="T17" s="495"/>
    </row>
    <row r="18" spans="1:20" ht="16" thickBot="1" x14ac:dyDescent="0.25">
      <c r="A18" s="254"/>
      <c r="B18" s="482"/>
      <c r="C18" s="483"/>
      <c r="D18" s="483"/>
      <c r="E18" s="495"/>
      <c r="F18" s="495"/>
      <c r="G18" s="495"/>
      <c r="H18" s="495"/>
      <c r="I18" s="495"/>
      <c r="J18" s="495"/>
      <c r="K18" s="495"/>
      <c r="L18" s="495"/>
      <c r="M18" s="495"/>
      <c r="N18" s="495"/>
      <c r="O18" s="495"/>
      <c r="P18" s="495"/>
      <c r="Q18" s="495"/>
      <c r="R18" s="495"/>
      <c r="S18" s="495"/>
      <c r="T18" s="495"/>
    </row>
    <row r="19" spans="1:20" x14ac:dyDescent="0.2">
      <c r="A19" s="254"/>
      <c r="B19" s="254"/>
      <c r="C19" s="254"/>
      <c r="D19" s="254"/>
      <c r="E19" s="495"/>
      <c r="F19" s="495"/>
      <c r="G19" s="495"/>
      <c r="H19" s="495"/>
      <c r="I19" s="495"/>
      <c r="J19" s="495"/>
      <c r="K19" s="495"/>
      <c r="L19" s="495"/>
      <c r="M19" s="495"/>
      <c r="N19" s="495"/>
      <c r="O19" s="495"/>
      <c r="P19" s="495"/>
      <c r="Q19" s="495"/>
      <c r="R19" s="495"/>
      <c r="S19" s="495"/>
      <c r="T19" s="495"/>
    </row>
    <row r="20" spans="1:20" x14ac:dyDescent="0.2">
      <c r="A20" s="254"/>
      <c r="B20" s="254"/>
      <c r="C20" s="254"/>
      <c r="D20" s="254"/>
      <c r="E20" s="358"/>
      <c r="F20" s="358"/>
      <c r="G20" s="358"/>
      <c r="H20" s="358"/>
      <c r="I20" s="358"/>
      <c r="J20" s="358"/>
      <c r="K20" s="358"/>
      <c r="L20" s="358"/>
      <c r="M20" s="358"/>
      <c r="N20" s="358"/>
      <c r="O20" s="358"/>
      <c r="P20" s="358"/>
      <c r="Q20" s="358"/>
      <c r="R20" s="358"/>
      <c r="S20" s="358"/>
      <c r="T20" s="358"/>
    </row>
    <row r="21" spans="1:20" x14ac:dyDescent="0.2">
      <c r="A21" s="254"/>
      <c r="B21" s="254"/>
      <c r="C21" s="254"/>
      <c r="D21" s="254"/>
      <c r="E21" s="266"/>
      <c r="F21" s="266"/>
      <c r="G21" s="266"/>
      <c r="H21" s="266"/>
      <c r="I21" s="266"/>
      <c r="J21" s="266"/>
      <c r="K21" s="266"/>
      <c r="L21" s="266"/>
      <c r="M21" s="266"/>
      <c r="P21" s="172"/>
    </row>
    <row r="22" spans="1:20" ht="15" customHeight="1" x14ac:dyDescent="0.2">
      <c r="A22" s="254"/>
      <c r="E22" s="484" t="s">
        <v>325</v>
      </c>
      <c r="F22" s="484"/>
      <c r="G22" s="484"/>
      <c r="H22" s="484"/>
      <c r="I22" s="484"/>
      <c r="J22" s="484"/>
      <c r="K22" s="484"/>
      <c r="L22" s="484"/>
      <c r="M22" s="484"/>
      <c r="N22" s="484"/>
      <c r="O22" s="484"/>
      <c r="P22" s="484"/>
      <c r="Q22" s="484"/>
      <c r="R22" s="484"/>
      <c r="S22" s="484"/>
      <c r="T22" s="484"/>
    </row>
    <row r="23" spans="1:20" ht="15" customHeight="1" thickBot="1" x14ac:dyDescent="0.25">
      <c r="A23" s="254"/>
      <c r="E23" s="484"/>
      <c r="F23" s="484"/>
      <c r="G23" s="484"/>
      <c r="H23" s="484"/>
      <c r="I23" s="484"/>
      <c r="J23" s="484"/>
      <c r="K23" s="484"/>
      <c r="L23" s="484"/>
      <c r="M23" s="484"/>
      <c r="N23" s="484"/>
      <c r="O23" s="484"/>
      <c r="P23" s="484"/>
      <c r="Q23" s="484"/>
      <c r="R23" s="484"/>
      <c r="S23" s="484"/>
      <c r="T23" s="484"/>
    </row>
    <row r="24" spans="1:20" ht="16" customHeight="1" x14ac:dyDescent="0.2">
      <c r="A24" s="254"/>
      <c r="B24" s="479" t="s">
        <v>262</v>
      </c>
      <c r="C24" s="480"/>
      <c r="D24" s="480"/>
      <c r="E24" s="484"/>
      <c r="F24" s="484"/>
      <c r="G24" s="484"/>
      <c r="H24" s="484"/>
      <c r="I24" s="484"/>
      <c r="J24" s="484"/>
      <c r="K24" s="484"/>
      <c r="L24" s="484"/>
      <c r="M24" s="484"/>
      <c r="N24" s="484"/>
      <c r="O24" s="484"/>
      <c r="P24" s="484"/>
      <c r="Q24" s="484"/>
      <c r="R24" s="484"/>
      <c r="S24" s="484"/>
      <c r="T24" s="484"/>
    </row>
    <row r="25" spans="1:20" x14ac:dyDescent="0.2">
      <c r="A25" s="254"/>
      <c r="B25" s="481"/>
      <c r="C25" s="476"/>
      <c r="D25" s="476"/>
      <c r="E25" s="484"/>
      <c r="F25" s="484"/>
      <c r="G25" s="484"/>
      <c r="H25" s="484"/>
      <c r="I25" s="484"/>
      <c r="J25" s="484"/>
      <c r="K25" s="484"/>
      <c r="L25" s="484"/>
      <c r="M25" s="484"/>
      <c r="N25" s="484"/>
      <c r="O25" s="484"/>
      <c r="P25" s="484"/>
      <c r="Q25" s="484"/>
      <c r="R25" s="484"/>
      <c r="S25" s="484"/>
      <c r="T25" s="484"/>
    </row>
    <row r="26" spans="1:20" ht="16" thickBot="1" x14ac:dyDescent="0.25">
      <c r="A26" s="254"/>
      <c r="B26" s="482"/>
      <c r="C26" s="483"/>
      <c r="D26" s="483"/>
      <c r="E26" s="484"/>
      <c r="F26" s="484"/>
      <c r="G26" s="484"/>
      <c r="H26" s="484"/>
      <c r="I26" s="484"/>
      <c r="J26" s="484"/>
      <c r="K26" s="484"/>
      <c r="L26" s="484"/>
      <c r="M26" s="484"/>
      <c r="N26" s="484"/>
      <c r="O26" s="484"/>
      <c r="P26" s="484"/>
      <c r="Q26" s="484"/>
      <c r="R26" s="484"/>
      <c r="S26" s="484"/>
      <c r="T26" s="484"/>
    </row>
    <row r="27" spans="1:20" x14ac:dyDescent="0.2">
      <c r="A27" s="254"/>
      <c r="B27" s="254"/>
      <c r="C27" s="254"/>
      <c r="D27" s="254"/>
      <c r="E27" s="484"/>
      <c r="F27" s="484"/>
      <c r="G27" s="484"/>
      <c r="H27" s="484"/>
      <c r="I27" s="484"/>
      <c r="J27" s="484"/>
      <c r="K27" s="484"/>
      <c r="L27" s="484"/>
      <c r="M27" s="484"/>
      <c r="N27" s="484"/>
      <c r="O27" s="484"/>
      <c r="P27" s="484"/>
      <c r="Q27" s="484"/>
      <c r="R27" s="484"/>
      <c r="S27" s="484"/>
      <c r="T27" s="484"/>
    </row>
    <row r="28" spans="1:20" x14ac:dyDescent="0.2">
      <c r="A28" s="254"/>
      <c r="B28" s="254"/>
      <c r="C28" s="254"/>
      <c r="D28" s="254"/>
      <c r="E28" s="484"/>
      <c r="F28" s="484"/>
      <c r="G28" s="484"/>
      <c r="H28" s="484"/>
      <c r="I28" s="484"/>
      <c r="J28" s="484"/>
      <c r="K28" s="484"/>
      <c r="L28" s="484"/>
      <c r="M28" s="484"/>
      <c r="N28" s="484"/>
      <c r="O28" s="484"/>
      <c r="P28" s="484"/>
      <c r="Q28" s="484"/>
      <c r="R28" s="484"/>
      <c r="S28" s="484"/>
      <c r="T28" s="484"/>
    </row>
    <row r="29" spans="1:20" ht="40.25" customHeight="1" x14ac:dyDescent="0.2">
      <c r="D29" s="254"/>
      <c r="E29" s="484"/>
      <c r="F29" s="484"/>
      <c r="G29" s="484"/>
      <c r="H29" s="484"/>
      <c r="I29" s="484"/>
      <c r="J29" s="484"/>
      <c r="K29" s="484"/>
      <c r="L29" s="484"/>
      <c r="M29" s="484"/>
      <c r="N29" s="484"/>
      <c r="O29" s="484"/>
      <c r="P29" s="484"/>
      <c r="Q29" s="484"/>
      <c r="R29" s="484"/>
      <c r="S29" s="484"/>
      <c r="T29" s="484"/>
    </row>
    <row r="30" spans="1:20" x14ac:dyDescent="0.2">
      <c r="D30" s="254"/>
      <c r="F30" s="355"/>
      <c r="G30" s="355"/>
      <c r="H30" s="355"/>
      <c r="I30" s="355"/>
      <c r="J30" s="355"/>
      <c r="K30" s="355"/>
      <c r="L30" s="355"/>
      <c r="M30" s="355"/>
      <c r="N30" s="355"/>
      <c r="O30" s="355"/>
      <c r="P30" s="355"/>
      <c r="Q30" s="355"/>
      <c r="R30" s="355"/>
      <c r="S30" s="355"/>
      <c r="T30" s="366"/>
    </row>
    <row r="31" spans="1:20" ht="13.75" customHeight="1" x14ac:dyDescent="0.2">
      <c r="D31" s="254"/>
      <c r="E31" s="494" t="s">
        <v>338</v>
      </c>
      <c r="F31" s="494"/>
      <c r="G31" s="494"/>
      <c r="H31" s="494"/>
      <c r="I31" s="494"/>
      <c r="J31" s="494"/>
      <c r="K31" s="494"/>
      <c r="L31" s="494"/>
      <c r="M31" s="494"/>
      <c r="N31" s="494"/>
      <c r="O31" s="494"/>
      <c r="P31" s="494"/>
      <c r="Q31" s="494"/>
      <c r="R31" s="494"/>
      <c r="S31" s="494"/>
      <c r="T31" s="494"/>
    </row>
    <row r="32" spans="1:20" ht="13" customHeight="1" x14ac:dyDescent="0.2">
      <c r="A32" s="254"/>
      <c r="E32" s="494"/>
      <c r="F32" s="494"/>
      <c r="G32" s="494"/>
      <c r="H32" s="494"/>
      <c r="I32" s="494"/>
      <c r="J32" s="494"/>
      <c r="K32" s="494"/>
      <c r="L32" s="494"/>
      <c r="M32" s="494"/>
      <c r="N32" s="494"/>
      <c r="O32" s="494"/>
      <c r="P32" s="494"/>
      <c r="Q32" s="494"/>
      <c r="R32" s="494"/>
      <c r="S32" s="494"/>
      <c r="T32" s="494"/>
    </row>
    <row r="33" spans="1:20" ht="15.5" customHeight="1" thickBot="1" x14ac:dyDescent="0.25">
      <c r="A33" s="254"/>
      <c r="E33" s="494"/>
      <c r="F33" s="494"/>
      <c r="G33" s="494"/>
      <c r="H33" s="494"/>
      <c r="I33" s="494"/>
      <c r="J33" s="494"/>
      <c r="K33" s="494"/>
      <c r="L33" s="494"/>
      <c r="M33" s="494"/>
      <c r="N33" s="494"/>
      <c r="O33" s="494"/>
      <c r="P33" s="494"/>
      <c r="Q33" s="494"/>
      <c r="R33" s="494"/>
      <c r="S33" s="494"/>
      <c r="T33" s="494"/>
    </row>
    <row r="34" spans="1:20" ht="21" customHeight="1" x14ac:dyDescent="0.2">
      <c r="A34" s="254"/>
      <c r="B34" s="479" t="s">
        <v>263</v>
      </c>
      <c r="C34" s="480"/>
      <c r="D34" s="480"/>
      <c r="E34" s="494"/>
      <c r="F34" s="494"/>
      <c r="G34" s="494"/>
      <c r="H34" s="494"/>
      <c r="I34" s="494"/>
      <c r="J34" s="494"/>
      <c r="K34" s="494"/>
      <c r="L34" s="494"/>
      <c r="M34" s="494"/>
      <c r="N34" s="494"/>
      <c r="O34" s="494"/>
      <c r="P34" s="494"/>
      <c r="Q34" s="494"/>
      <c r="R34" s="494"/>
      <c r="S34" s="494"/>
      <c r="T34" s="494"/>
    </row>
    <row r="35" spans="1:20" ht="15" customHeight="1" x14ac:dyDescent="0.2">
      <c r="A35" s="254"/>
      <c r="B35" s="481"/>
      <c r="C35" s="476"/>
      <c r="D35" s="476"/>
      <c r="E35" s="494"/>
      <c r="F35" s="494"/>
      <c r="G35" s="494"/>
      <c r="H35" s="494"/>
      <c r="I35" s="494"/>
      <c r="J35" s="494"/>
      <c r="K35" s="494"/>
      <c r="L35" s="494"/>
      <c r="M35" s="494"/>
      <c r="N35" s="494"/>
      <c r="O35" s="494"/>
      <c r="P35" s="494"/>
      <c r="Q35" s="494"/>
      <c r="R35" s="494"/>
      <c r="S35" s="494"/>
      <c r="T35" s="494"/>
    </row>
    <row r="36" spans="1:20" ht="23" customHeight="1" thickBot="1" x14ac:dyDescent="0.25">
      <c r="A36" s="254"/>
      <c r="B36" s="482"/>
      <c r="C36" s="483"/>
      <c r="D36" s="483"/>
      <c r="E36" s="494"/>
      <c r="F36" s="494"/>
      <c r="G36" s="494"/>
      <c r="H36" s="494"/>
      <c r="I36" s="494"/>
      <c r="J36" s="494"/>
      <c r="K36" s="494"/>
      <c r="L36" s="494"/>
      <c r="M36" s="494"/>
      <c r="N36" s="494"/>
      <c r="O36" s="494"/>
      <c r="P36" s="494"/>
      <c r="Q36" s="494"/>
      <c r="R36" s="494"/>
      <c r="S36" s="494"/>
      <c r="T36" s="494"/>
    </row>
    <row r="37" spans="1:20" ht="16" customHeight="1" x14ac:dyDescent="0.2">
      <c r="A37" s="254"/>
      <c r="B37" s="360"/>
      <c r="C37" s="361"/>
      <c r="D37" s="361"/>
      <c r="E37" s="494"/>
      <c r="F37" s="494"/>
      <c r="G37" s="494"/>
      <c r="H37" s="494"/>
      <c r="I37" s="494"/>
      <c r="J37" s="494"/>
      <c r="K37" s="494"/>
      <c r="L37" s="494"/>
      <c r="M37" s="494"/>
      <c r="N37" s="494"/>
      <c r="O37" s="494"/>
      <c r="P37" s="494"/>
      <c r="Q37" s="494"/>
      <c r="R37" s="494"/>
      <c r="S37" s="494"/>
      <c r="T37" s="494"/>
    </row>
    <row r="38" spans="1:20" x14ac:dyDescent="0.2">
      <c r="A38" s="156"/>
      <c r="B38" s="173"/>
      <c r="C38" s="173"/>
      <c r="D38" s="173"/>
      <c r="E38" s="494"/>
      <c r="F38" s="494"/>
      <c r="G38" s="494"/>
      <c r="H38" s="494"/>
      <c r="I38" s="494"/>
      <c r="J38" s="494"/>
      <c r="K38" s="494"/>
      <c r="L38" s="494"/>
      <c r="M38" s="494"/>
      <c r="N38" s="494"/>
      <c r="O38" s="494"/>
      <c r="P38" s="494"/>
      <c r="Q38" s="494"/>
      <c r="R38" s="494"/>
      <c r="S38" s="494"/>
      <c r="T38" s="494"/>
    </row>
    <row r="39" spans="1:20" x14ac:dyDescent="0.2">
      <c r="A39" s="156"/>
      <c r="B39" s="173"/>
      <c r="C39" s="173"/>
      <c r="D39" s="173"/>
      <c r="E39" s="355"/>
      <c r="F39" s="355"/>
      <c r="G39" s="355"/>
      <c r="H39" s="355"/>
      <c r="I39" s="355"/>
      <c r="J39" s="355"/>
      <c r="K39" s="355"/>
      <c r="L39" s="355"/>
      <c r="M39" s="355"/>
      <c r="N39" s="355"/>
      <c r="O39" s="355"/>
      <c r="P39" s="355"/>
      <c r="Q39" s="355"/>
      <c r="R39" s="355"/>
      <c r="S39" s="355"/>
      <c r="T39" s="355"/>
    </row>
    <row r="40" spans="1:20" x14ac:dyDescent="0.2">
      <c r="A40" s="156"/>
      <c r="B40" s="173"/>
      <c r="C40" s="173"/>
      <c r="D40" s="173"/>
      <c r="E40" s="355"/>
      <c r="F40" s="355"/>
      <c r="G40" s="355"/>
      <c r="H40" s="355"/>
      <c r="I40" s="355"/>
      <c r="J40" s="355"/>
      <c r="K40" s="355"/>
      <c r="L40" s="355"/>
      <c r="M40" s="355"/>
      <c r="N40" s="355"/>
      <c r="O40" s="355"/>
      <c r="P40" s="355"/>
      <c r="Q40" s="355"/>
      <c r="R40" s="355"/>
      <c r="S40" s="355"/>
      <c r="T40" s="355"/>
    </row>
    <row r="41" spans="1:20" ht="18" customHeight="1" x14ac:dyDescent="0.2">
      <c r="A41" s="156"/>
      <c r="F41" s="355"/>
      <c r="G41" s="355"/>
      <c r="H41" s="355"/>
      <c r="I41" s="355"/>
      <c r="J41" s="355"/>
      <c r="K41" s="355"/>
      <c r="L41" s="355"/>
      <c r="M41" s="355"/>
      <c r="N41" s="173"/>
      <c r="O41" s="172"/>
      <c r="P41" s="172"/>
    </row>
    <row r="42" spans="1:20" ht="16" thickBot="1" x14ac:dyDescent="0.25">
      <c r="A42" s="156"/>
      <c r="F42" s="355"/>
      <c r="G42" s="355"/>
      <c r="H42" s="355"/>
      <c r="I42" s="355"/>
      <c r="J42" s="355"/>
      <c r="K42" s="355"/>
      <c r="L42" s="355"/>
      <c r="M42" s="355"/>
      <c r="N42" s="173"/>
      <c r="O42" s="172"/>
      <c r="P42" s="172"/>
    </row>
    <row r="43" spans="1:20" ht="88.75" customHeight="1" x14ac:dyDescent="0.2">
      <c r="A43" s="156"/>
      <c r="B43" s="479" t="s">
        <v>264</v>
      </c>
      <c r="C43" s="480"/>
      <c r="D43" s="496"/>
      <c r="E43" s="465" t="s">
        <v>267</v>
      </c>
      <c r="F43" s="466"/>
      <c r="G43" s="466"/>
      <c r="H43" s="466"/>
      <c r="I43" s="466"/>
      <c r="J43" s="466"/>
      <c r="K43" s="466"/>
      <c r="L43" s="466"/>
      <c r="M43" s="466"/>
      <c r="N43" s="466"/>
      <c r="O43" s="466"/>
      <c r="P43" s="466"/>
      <c r="Q43" s="466"/>
      <c r="R43" s="466"/>
      <c r="S43" s="466"/>
      <c r="T43" s="467"/>
    </row>
    <row r="44" spans="1:20" x14ac:dyDescent="0.2">
      <c r="A44" s="156"/>
      <c r="B44" s="481"/>
      <c r="C44" s="476"/>
      <c r="D44" s="497"/>
      <c r="E44" s="468"/>
      <c r="F44" s="424"/>
      <c r="G44" s="424"/>
      <c r="H44" s="424"/>
      <c r="I44" s="424"/>
      <c r="J44" s="424"/>
      <c r="K44" s="424"/>
      <c r="L44" s="424"/>
      <c r="M44" s="424"/>
      <c r="N44" s="424"/>
      <c r="O44" s="424"/>
      <c r="P44" s="424"/>
      <c r="Q44" s="424"/>
      <c r="R44" s="424"/>
      <c r="S44" s="424"/>
      <c r="T44" s="469"/>
    </row>
    <row r="45" spans="1:20" x14ac:dyDescent="0.2">
      <c r="A45" s="156"/>
      <c r="B45" s="481"/>
      <c r="C45" s="476"/>
      <c r="D45" s="497"/>
      <c r="E45" s="468"/>
      <c r="F45" s="424"/>
      <c r="G45" s="424"/>
      <c r="H45" s="424"/>
      <c r="I45" s="424"/>
      <c r="J45" s="424"/>
      <c r="K45" s="424"/>
      <c r="L45" s="424"/>
      <c r="M45" s="424"/>
      <c r="N45" s="424"/>
      <c r="O45" s="424"/>
      <c r="P45" s="424"/>
      <c r="Q45" s="424"/>
      <c r="R45" s="424"/>
      <c r="S45" s="424"/>
      <c r="T45" s="469"/>
    </row>
    <row r="46" spans="1:20" ht="16" thickBot="1" x14ac:dyDescent="0.25">
      <c r="A46" s="156"/>
      <c r="B46" s="482"/>
      <c r="C46" s="483"/>
      <c r="D46" s="498"/>
      <c r="E46" s="468"/>
      <c r="F46" s="424"/>
      <c r="G46" s="424"/>
      <c r="H46" s="424"/>
      <c r="I46" s="424"/>
      <c r="J46" s="424"/>
      <c r="K46" s="424"/>
      <c r="L46" s="424"/>
      <c r="M46" s="424"/>
      <c r="N46" s="424"/>
      <c r="O46" s="424"/>
      <c r="P46" s="424"/>
      <c r="Q46" s="424"/>
      <c r="R46" s="424"/>
      <c r="S46" s="424"/>
      <c r="T46" s="469"/>
    </row>
    <row r="47" spans="1:20" x14ac:dyDescent="0.2">
      <c r="D47" s="173"/>
      <c r="E47" s="470"/>
      <c r="F47" s="471"/>
      <c r="G47" s="471"/>
      <c r="H47" s="471"/>
      <c r="I47" s="471"/>
      <c r="J47" s="471"/>
      <c r="K47" s="471"/>
      <c r="L47" s="471"/>
      <c r="M47" s="471"/>
      <c r="N47" s="471"/>
      <c r="O47" s="471"/>
      <c r="P47" s="471"/>
      <c r="Q47" s="471"/>
      <c r="R47" s="471"/>
      <c r="S47" s="471"/>
      <c r="T47" s="472"/>
    </row>
    <row r="48" spans="1:20" x14ac:dyDescent="0.2">
      <c r="D48" s="173"/>
      <c r="E48" s="355"/>
      <c r="F48" s="355"/>
      <c r="G48" s="355"/>
      <c r="H48" s="355"/>
      <c r="I48" s="355"/>
      <c r="J48" s="355"/>
      <c r="K48" s="355"/>
      <c r="L48" s="355"/>
      <c r="M48" s="355"/>
      <c r="N48" s="355"/>
      <c r="O48" s="355"/>
      <c r="P48" s="355"/>
      <c r="Q48" s="355"/>
      <c r="R48" s="355"/>
      <c r="S48" s="355"/>
      <c r="T48" s="355"/>
    </row>
    <row r="49" spans="1:20" ht="14" customHeight="1" x14ac:dyDescent="0.2">
      <c r="E49" s="355"/>
      <c r="F49" s="355"/>
      <c r="G49" s="355"/>
      <c r="H49" s="355"/>
      <c r="I49" s="355"/>
      <c r="J49" s="355"/>
      <c r="K49" s="355"/>
      <c r="L49" s="355"/>
      <c r="M49" s="355"/>
      <c r="N49" s="173"/>
      <c r="O49" s="172"/>
      <c r="P49" s="172"/>
    </row>
    <row r="50" spans="1:20" ht="13" customHeight="1" x14ac:dyDescent="0.2">
      <c r="E50" s="465" t="s">
        <v>330</v>
      </c>
      <c r="F50" s="466"/>
      <c r="G50" s="466"/>
      <c r="H50" s="466"/>
      <c r="I50" s="466"/>
      <c r="J50" s="466"/>
      <c r="K50" s="466"/>
      <c r="L50" s="466"/>
      <c r="M50" s="466"/>
      <c r="N50" s="466"/>
      <c r="O50" s="466"/>
      <c r="P50" s="466"/>
      <c r="Q50" s="466"/>
      <c r="R50" s="466"/>
      <c r="S50" s="466"/>
      <c r="T50" s="467"/>
    </row>
    <row r="51" spans="1:20" ht="16" thickBot="1" x14ac:dyDescent="0.25">
      <c r="A51" s="156"/>
      <c r="E51" s="468"/>
      <c r="F51" s="424"/>
      <c r="G51" s="424"/>
      <c r="H51" s="424"/>
      <c r="I51" s="424"/>
      <c r="J51" s="424"/>
      <c r="K51" s="424"/>
      <c r="L51" s="424"/>
      <c r="M51" s="424"/>
      <c r="N51" s="424"/>
      <c r="O51" s="424"/>
      <c r="P51" s="424"/>
      <c r="Q51" s="424"/>
      <c r="R51" s="424"/>
      <c r="S51" s="424"/>
      <c r="T51" s="469"/>
    </row>
    <row r="52" spans="1:20" ht="30.5" customHeight="1" x14ac:dyDescent="0.2">
      <c r="A52" s="173"/>
      <c r="B52" s="473" t="s">
        <v>341</v>
      </c>
      <c r="C52" s="474"/>
      <c r="D52" s="474"/>
      <c r="E52" s="468"/>
      <c r="F52" s="424"/>
      <c r="G52" s="424"/>
      <c r="H52" s="424"/>
      <c r="I52" s="424"/>
      <c r="J52" s="424"/>
      <c r="K52" s="424"/>
      <c r="L52" s="424"/>
      <c r="M52" s="424"/>
      <c r="N52" s="424"/>
      <c r="O52" s="424"/>
      <c r="P52" s="424"/>
      <c r="Q52" s="424"/>
      <c r="R52" s="424"/>
      <c r="S52" s="424"/>
      <c r="T52" s="469"/>
    </row>
    <row r="53" spans="1:20" ht="15" customHeight="1" x14ac:dyDescent="0.2">
      <c r="A53" s="254"/>
      <c r="B53" s="475"/>
      <c r="C53" s="476"/>
      <c r="D53" s="476"/>
      <c r="E53" s="468"/>
      <c r="F53" s="424"/>
      <c r="G53" s="424"/>
      <c r="H53" s="424"/>
      <c r="I53" s="424"/>
      <c r="J53" s="424"/>
      <c r="K53" s="424"/>
      <c r="L53" s="424"/>
      <c r="M53" s="424"/>
      <c r="N53" s="424"/>
      <c r="O53" s="424"/>
      <c r="P53" s="424"/>
      <c r="Q53" s="424"/>
      <c r="R53" s="424"/>
      <c r="S53" s="424"/>
      <c r="T53" s="469"/>
    </row>
    <row r="54" spans="1:20" x14ac:dyDescent="0.2">
      <c r="A54" s="254"/>
      <c r="B54" s="475"/>
      <c r="C54" s="476"/>
      <c r="D54" s="476"/>
      <c r="E54" s="468"/>
      <c r="F54" s="424"/>
      <c r="G54" s="424"/>
      <c r="H54" s="424"/>
      <c r="I54" s="424"/>
      <c r="J54" s="424"/>
      <c r="K54" s="424"/>
      <c r="L54" s="424"/>
      <c r="M54" s="424"/>
      <c r="N54" s="424"/>
      <c r="O54" s="424"/>
      <c r="P54" s="424"/>
      <c r="Q54" s="424"/>
      <c r="R54" s="424"/>
      <c r="S54" s="424"/>
      <c r="T54" s="469"/>
    </row>
    <row r="55" spans="1:20" ht="33" customHeight="1" thickBot="1" x14ac:dyDescent="0.25">
      <c r="A55" s="254"/>
      <c r="B55" s="477"/>
      <c r="C55" s="478"/>
      <c r="D55" s="478"/>
      <c r="E55" s="468"/>
      <c r="F55" s="424"/>
      <c r="G55" s="424"/>
      <c r="H55" s="424"/>
      <c r="I55" s="424"/>
      <c r="J55" s="424"/>
      <c r="K55" s="424"/>
      <c r="L55" s="424"/>
      <c r="M55" s="424"/>
      <c r="N55" s="424"/>
      <c r="O55" s="424"/>
      <c r="P55" s="424"/>
      <c r="Q55" s="424"/>
      <c r="R55" s="424"/>
      <c r="S55" s="424"/>
      <c r="T55" s="469"/>
    </row>
    <row r="56" spans="1:20" ht="18" x14ac:dyDescent="0.2">
      <c r="A56" s="254"/>
      <c r="B56" s="365"/>
      <c r="C56" s="365"/>
      <c r="D56" s="365"/>
      <c r="E56" s="470"/>
      <c r="F56" s="471"/>
      <c r="G56" s="471"/>
      <c r="H56" s="471"/>
      <c r="I56" s="471"/>
      <c r="J56" s="471"/>
      <c r="K56" s="471"/>
      <c r="L56" s="471"/>
      <c r="M56" s="471"/>
      <c r="N56" s="471"/>
      <c r="O56" s="471"/>
      <c r="P56" s="471"/>
      <c r="Q56" s="471"/>
      <c r="R56" s="471"/>
      <c r="S56" s="471"/>
      <c r="T56" s="472"/>
    </row>
    <row r="57" spans="1:20" x14ac:dyDescent="0.2">
      <c r="A57" s="254"/>
      <c r="B57" s="152"/>
      <c r="C57" s="152"/>
      <c r="D57" s="173"/>
      <c r="E57" s="355"/>
      <c r="F57" s="355"/>
      <c r="G57" s="355"/>
      <c r="H57" s="355"/>
      <c r="I57" s="355"/>
      <c r="J57" s="355"/>
      <c r="K57" s="355"/>
      <c r="L57" s="355"/>
      <c r="M57" s="355"/>
      <c r="N57" s="355"/>
      <c r="O57" s="355"/>
      <c r="P57" s="355"/>
      <c r="Q57" s="355"/>
      <c r="R57" s="355"/>
      <c r="S57" s="355"/>
      <c r="T57" s="355"/>
    </row>
    <row r="58" spans="1:20" x14ac:dyDescent="0.2">
      <c r="B58" s="152"/>
      <c r="C58" s="152"/>
      <c r="D58" s="173"/>
      <c r="E58" s="355"/>
      <c r="F58" s="355"/>
      <c r="G58" s="355"/>
      <c r="H58" s="355"/>
      <c r="I58" s="355"/>
      <c r="J58" s="355"/>
      <c r="K58" s="355"/>
      <c r="L58" s="355"/>
      <c r="M58" s="355"/>
      <c r="N58" s="355"/>
      <c r="O58" s="355"/>
      <c r="P58" s="355"/>
      <c r="Q58" s="355"/>
      <c r="R58" s="355"/>
      <c r="S58" s="355"/>
      <c r="T58" s="355"/>
    </row>
    <row r="59" spans="1:20" x14ac:dyDescent="0.2">
      <c r="B59" s="152"/>
      <c r="C59" s="152"/>
      <c r="D59" s="173"/>
      <c r="E59" s="358"/>
      <c r="F59" s="358"/>
      <c r="G59" s="358"/>
      <c r="H59" s="358"/>
      <c r="I59" s="358"/>
      <c r="J59" s="358"/>
      <c r="K59" s="358"/>
      <c r="L59" s="358"/>
      <c r="M59" s="358"/>
      <c r="N59" s="358"/>
      <c r="O59" s="358"/>
      <c r="P59" s="358"/>
      <c r="Q59" s="358"/>
      <c r="R59" s="358"/>
      <c r="S59" s="358"/>
      <c r="T59" s="358"/>
    </row>
    <row r="60" spans="1:20" ht="18" x14ac:dyDescent="0.2">
      <c r="C60" s="365"/>
      <c r="D60" s="365"/>
      <c r="E60" s="358"/>
      <c r="F60" s="358"/>
      <c r="G60" s="358"/>
      <c r="H60" s="358"/>
      <c r="I60" s="358"/>
      <c r="J60" s="358"/>
      <c r="K60" s="358"/>
      <c r="L60" s="358"/>
      <c r="M60" s="358"/>
      <c r="N60" s="358"/>
      <c r="O60" s="358"/>
      <c r="P60" s="358"/>
      <c r="Q60" s="358"/>
      <c r="R60" s="358"/>
      <c r="S60" s="358"/>
      <c r="T60" s="358"/>
    </row>
    <row r="61" spans="1:20" ht="18" x14ac:dyDescent="0.2">
      <c r="B61" s="365"/>
      <c r="C61" s="365"/>
      <c r="D61" s="365"/>
      <c r="E61" s="355"/>
      <c r="F61" s="355"/>
      <c r="G61" s="355"/>
      <c r="H61" s="355"/>
      <c r="I61" s="355"/>
      <c r="J61" s="355"/>
      <c r="K61" s="355"/>
      <c r="L61" s="355"/>
      <c r="M61" s="355"/>
      <c r="N61" s="173"/>
    </row>
    <row r="62" spans="1:20" ht="18" x14ac:dyDescent="0.2">
      <c r="A62" s="254"/>
      <c r="B62" s="365"/>
      <c r="C62" s="365"/>
      <c r="D62" s="365"/>
      <c r="E62" s="355"/>
      <c r="F62" s="355"/>
      <c r="G62" s="355"/>
      <c r="H62" s="355"/>
      <c r="I62" s="355"/>
      <c r="J62" s="355"/>
      <c r="K62" s="355"/>
      <c r="L62" s="355"/>
      <c r="M62" s="355"/>
      <c r="N62" s="174"/>
    </row>
    <row r="63" spans="1:20" ht="18" x14ac:dyDescent="0.2">
      <c r="A63" s="254"/>
      <c r="B63" s="365"/>
      <c r="C63" s="365"/>
      <c r="D63" s="365"/>
      <c r="E63" s="355"/>
      <c r="F63" s="355"/>
      <c r="G63" s="355"/>
      <c r="H63" s="355"/>
      <c r="I63" s="355"/>
      <c r="J63" s="355"/>
      <c r="K63" s="355"/>
      <c r="L63" s="355"/>
      <c r="M63" s="355"/>
      <c r="N63" s="174"/>
    </row>
    <row r="64" spans="1:20" x14ac:dyDescent="0.2">
      <c r="A64" s="254"/>
      <c r="B64" s="254"/>
      <c r="C64" s="254"/>
      <c r="D64" s="254"/>
      <c r="E64" s="355"/>
      <c r="F64" s="355"/>
      <c r="G64" s="355"/>
      <c r="H64" s="355"/>
      <c r="I64" s="355"/>
      <c r="J64" s="355"/>
      <c r="K64" s="355"/>
      <c r="L64" s="355"/>
      <c r="M64" s="355"/>
      <c r="N64" s="174"/>
    </row>
    <row r="65" spans="1:27" x14ac:dyDescent="0.2">
      <c r="A65" s="254"/>
      <c r="B65" s="254"/>
      <c r="C65" s="254"/>
      <c r="D65" s="254"/>
      <c r="E65" s="355"/>
      <c r="F65" s="355"/>
      <c r="G65" s="355"/>
      <c r="H65" s="355"/>
      <c r="I65" s="355"/>
      <c r="J65" s="355"/>
      <c r="K65" s="355"/>
      <c r="L65" s="355"/>
      <c r="M65" s="355"/>
      <c r="N65" s="174"/>
    </row>
    <row r="66" spans="1:27" x14ac:dyDescent="0.2">
      <c r="A66" s="254"/>
      <c r="E66" s="355"/>
      <c r="F66" s="355"/>
      <c r="G66" s="355"/>
      <c r="H66" s="355"/>
      <c r="I66" s="355"/>
      <c r="J66" s="355"/>
      <c r="K66" s="355"/>
      <c r="L66" s="355"/>
      <c r="M66" s="355"/>
      <c r="N66" s="174"/>
    </row>
    <row r="67" spans="1:27" x14ac:dyDescent="0.2">
      <c r="A67" s="254"/>
      <c r="E67" s="355"/>
      <c r="F67" s="355"/>
      <c r="G67" s="355"/>
      <c r="H67" s="355"/>
      <c r="I67" s="355"/>
      <c r="J67" s="355"/>
      <c r="K67" s="355"/>
      <c r="L67" s="355"/>
      <c r="M67" s="355"/>
      <c r="N67" s="174"/>
    </row>
    <row r="68" spans="1:27" x14ac:dyDescent="0.2">
      <c r="E68" s="355"/>
      <c r="F68" s="355"/>
      <c r="G68" s="355"/>
      <c r="H68" s="355"/>
      <c r="I68" s="355"/>
      <c r="J68" s="355"/>
      <c r="K68" s="355"/>
      <c r="L68" s="355"/>
      <c r="M68" s="355"/>
      <c r="N68" s="174"/>
    </row>
    <row r="69" spans="1:27" x14ac:dyDescent="0.2">
      <c r="E69" s="355"/>
      <c r="F69" s="355"/>
      <c r="G69" s="355"/>
      <c r="H69" s="355"/>
      <c r="I69" s="355"/>
      <c r="J69" s="355"/>
      <c r="K69" s="355"/>
      <c r="L69" s="355"/>
      <c r="M69" s="355"/>
      <c r="N69" s="174"/>
    </row>
    <row r="70" spans="1:27" x14ac:dyDescent="0.2">
      <c r="E70" s="355"/>
      <c r="F70" s="355"/>
      <c r="G70" s="355"/>
      <c r="H70" s="355"/>
      <c r="I70" s="355"/>
      <c r="J70" s="355"/>
      <c r="K70" s="355"/>
      <c r="L70" s="355"/>
      <c r="M70" s="355"/>
      <c r="N70" s="174"/>
      <c r="O70" s="174"/>
      <c r="P70" s="174"/>
      <c r="Q70" s="263"/>
      <c r="R70" s="263"/>
      <c r="S70" s="263"/>
      <c r="T70" s="263"/>
    </row>
    <row r="71" spans="1:27" x14ac:dyDescent="0.2">
      <c r="E71" s="355"/>
      <c r="F71" s="355"/>
      <c r="G71" s="355"/>
      <c r="H71" s="355"/>
      <c r="I71" s="355"/>
      <c r="J71" s="355"/>
      <c r="K71" s="355"/>
      <c r="L71" s="355"/>
      <c r="M71" s="355"/>
      <c r="N71" s="174"/>
      <c r="O71" s="174"/>
      <c r="P71" s="174"/>
      <c r="Q71" s="263"/>
      <c r="R71" s="263"/>
      <c r="S71" s="263"/>
      <c r="T71" s="263"/>
    </row>
    <row r="72" spans="1:27" x14ac:dyDescent="0.2">
      <c r="A72" s="156"/>
      <c r="E72" s="355"/>
      <c r="F72" s="355"/>
      <c r="G72" s="355"/>
      <c r="H72" s="355"/>
      <c r="I72" s="355"/>
      <c r="J72" s="355"/>
      <c r="K72" s="355"/>
      <c r="L72" s="355"/>
      <c r="M72" s="355"/>
      <c r="N72" s="174"/>
      <c r="O72" s="174"/>
      <c r="P72" s="174"/>
      <c r="Q72" s="263"/>
      <c r="R72" s="263"/>
      <c r="S72" s="263"/>
      <c r="T72" s="263"/>
    </row>
    <row r="73" spans="1:27" x14ac:dyDescent="0.2">
      <c r="A73" s="156"/>
      <c r="E73" s="355"/>
      <c r="F73" s="355"/>
      <c r="G73" s="355"/>
      <c r="H73" s="355"/>
      <c r="I73" s="355"/>
      <c r="J73" s="355"/>
      <c r="K73" s="355"/>
      <c r="L73" s="355"/>
      <c r="M73" s="355"/>
      <c r="N73" s="174"/>
      <c r="O73" s="174"/>
      <c r="P73" s="174"/>
      <c r="Q73" s="263"/>
      <c r="R73" s="263"/>
      <c r="S73" s="263"/>
      <c r="T73" s="263"/>
    </row>
    <row r="74" spans="1:27" x14ac:dyDescent="0.2">
      <c r="A74" s="156"/>
      <c r="E74" s="254"/>
      <c r="F74" s="254"/>
      <c r="G74" s="254"/>
      <c r="H74" s="254"/>
      <c r="I74" s="254"/>
      <c r="J74" s="254"/>
      <c r="K74" s="254"/>
      <c r="L74" s="254"/>
      <c r="M74" s="254"/>
      <c r="N74" s="174"/>
      <c r="O74" s="174"/>
      <c r="P74" s="174"/>
      <c r="Q74" s="263"/>
      <c r="R74" s="263"/>
      <c r="S74" s="263"/>
      <c r="T74" s="263"/>
    </row>
    <row r="75" spans="1:27" x14ac:dyDescent="0.2">
      <c r="A75" s="156"/>
      <c r="E75" s="254"/>
      <c r="F75" s="254"/>
      <c r="G75" s="254"/>
      <c r="H75" s="254"/>
      <c r="I75" s="254"/>
      <c r="J75" s="254"/>
      <c r="K75" s="254"/>
      <c r="L75" s="254"/>
      <c r="M75" s="254"/>
      <c r="N75" s="174"/>
      <c r="O75" s="174"/>
      <c r="P75" s="174"/>
      <c r="Q75" s="263"/>
      <c r="R75" s="263"/>
      <c r="S75" s="263"/>
      <c r="T75" s="263"/>
    </row>
    <row r="76" spans="1:27" ht="22" customHeight="1" x14ac:dyDescent="0.2">
      <c r="F76" s="358"/>
      <c r="G76" s="358"/>
      <c r="H76" s="358"/>
      <c r="I76" s="358"/>
      <c r="J76" s="358"/>
      <c r="K76" s="358"/>
      <c r="L76" s="358"/>
      <c r="M76" s="358"/>
      <c r="N76" s="174"/>
      <c r="O76" s="174"/>
      <c r="P76" s="174"/>
      <c r="Q76" s="263"/>
      <c r="R76" s="263"/>
      <c r="S76" s="263"/>
      <c r="T76" s="263"/>
    </row>
    <row r="77" spans="1:27" x14ac:dyDescent="0.2">
      <c r="E77" s="358"/>
      <c r="F77" s="358"/>
      <c r="G77" s="358"/>
      <c r="H77" s="358"/>
      <c r="I77" s="358"/>
      <c r="J77" s="358"/>
      <c r="K77" s="358"/>
      <c r="L77" s="358"/>
      <c r="M77" s="358"/>
      <c r="N77" s="174"/>
      <c r="O77" s="174"/>
      <c r="P77" s="174"/>
      <c r="Q77" s="263"/>
      <c r="R77" s="263"/>
      <c r="S77" s="263"/>
      <c r="T77" s="263"/>
    </row>
    <row r="78" spans="1:27" x14ac:dyDescent="0.2">
      <c r="E78" s="358"/>
      <c r="F78" s="358"/>
      <c r="G78" s="358"/>
      <c r="H78" s="358"/>
      <c r="I78" s="358"/>
      <c r="J78" s="358"/>
      <c r="K78" s="358"/>
      <c r="L78" s="358"/>
      <c r="M78" s="358"/>
      <c r="N78" s="174"/>
      <c r="O78" s="174"/>
      <c r="P78" s="174"/>
      <c r="Q78" s="263"/>
      <c r="R78" s="263"/>
      <c r="S78" s="263"/>
      <c r="T78" s="263"/>
    </row>
    <row r="79" spans="1:27" x14ac:dyDescent="0.2">
      <c r="E79" s="358"/>
      <c r="F79" s="358"/>
      <c r="G79" s="358"/>
      <c r="H79" s="358"/>
      <c r="I79" s="358"/>
      <c r="J79" s="358"/>
      <c r="K79" s="358"/>
      <c r="L79" s="358"/>
      <c r="M79" s="358"/>
      <c r="N79" s="174"/>
      <c r="O79" s="174"/>
      <c r="P79" s="174"/>
      <c r="Q79" s="263"/>
      <c r="R79" s="263"/>
      <c r="S79" s="263"/>
      <c r="T79" s="263"/>
    </row>
    <row r="80" spans="1:27" ht="17" customHeight="1" x14ac:dyDescent="0.2">
      <c r="A80" s="254"/>
      <c r="B80" s="254"/>
      <c r="C80" s="254"/>
      <c r="D80" s="254"/>
      <c r="E80" s="358"/>
      <c r="F80" s="358"/>
      <c r="G80" s="358"/>
      <c r="H80" s="358"/>
      <c r="I80" s="358"/>
      <c r="J80" s="358"/>
      <c r="K80" s="358"/>
      <c r="L80" s="358"/>
      <c r="M80" s="358"/>
      <c r="N80" s="174"/>
      <c r="O80" s="174"/>
      <c r="P80" s="174"/>
      <c r="Q80" s="174"/>
      <c r="R80" s="174"/>
      <c r="S80" s="174"/>
      <c r="T80" s="174"/>
      <c r="U80" s="174"/>
      <c r="V80" s="174"/>
      <c r="W80" s="174"/>
      <c r="X80" s="174"/>
      <c r="Y80" s="174"/>
      <c r="Z80" s="174"/>
      <c r="AA80" s="174"/>
    </row>
    <row r="81" spans="1:27" x14ac:dyDescent="0.2">
      <c r="A81" s="254"/>
      <c r="B81" s="254"/>
      <c r="C81" s="254"/>
      <c r="D81" s="254"/>
      <c r="E81" s="358"/>
      <c r="F81" s="358"/>
      <c r="G81" s="358"/>
      <c r="H81" s="358"/>
      <c r="I81" s="358"/>
      <c r="J81" s="358"/>
      <c r="K81" s="358"/>
      <c r="L81" s="358"/>
      <c r="M81" s="358"/>
      <c r="N81" s="174"/>
      <c r="O81" s="174"/>
      <c r="P81" s="174"/>
      <c r="Q81" s="174"/>
      <c r="R81" s="174"/>
      <c r="S81" s="174"/>
      <c r="T81" s="174"/>
      <c r="U81" s="174"/>
      <c r="V81" s="174"/>
      <c r="W81" s="174"/>
      <c r="X81" s="174"/>
      <c r="Y81" s="174"/>
      <c r="Z81" s="174"/>
      <c r="AA81" s="174"/>
    </row>
    <row r="82" spans="1:27" x14ac:dyDescent="0.2">
      <c r="A82" s="254"/>
      <c r="B82" s="254"/>
      <c r="C82" s="254"/>
      <c r="D82" s="254"/>
      <c r="E82" s="358"/>
      <c r="F82" s="358"/>
      <c r="G82" s="358"/>
      <c r="H82" s="358"/>
      <c r="I82" s="358"/>
      <c r="J82" s="358"/>
      <c r="K82" s="358"/>
      <c r="L82" s="358"/>
      <c r="M82" s="358"/>
      <c r="N82" s="263"/>
      <c r="O82" s="174"/>
      <c r="P82" s="174"/>
      <c r="Q82" s="174"/>
      <c r="R82" s="174"/>
      <c r="S82" s="174"/>
      <c r="T82" s="174"/>
      <c r="U82" s="174"/>
      <c r="V82" s="174"/>
      <c r="W82" s="174"/>
      <c r="X82" s="174"/>
      <c r="Y82" s="174"/>
      <c r="Z82" s="174"/>
      <c r="AA82" s="174"/>
    </row>
    <row r="83" spans="1:27" x14ac:dyDescent="0.2">
      <c r="A83" s="254"/>
      <c r="B83" s="254"/>
      <c r="C83" s="254"/>
      <c r="D83" s="254"/>
      <c r="E83" s="358"/>
      <c r="F83" s="358"/>
      <c r="G83" s="358"/>
      <c r="H83" s="358"/>
      <c r="I83" s="358"/>
      <c r="J83" s="358"/>
      <c r="K83" s="358"/>
      <c r="L83" s="358"/>
      <c r="M83" s="358"/>
      <c r="N83" s="263"/>
      <c r="O83" s="174"/>
      <c r="P83" s="174"/>
      <c r="Q83" s="174"/>
      <c r="R83" s="174"/>
      <c r="S83" s="174"/>
      <c r="T83" s="174"/>
      <c r="U83" s="174"/>
      <c r="V83" s="174"/>
      <c r="W83" s="174"/>
      <c r="X83" s="174"/>
      <c r="Y83" s="174"/>
      <c r="Z83" s="174"/>
      <c r="AA83" s="174"/>
    </row>
    <row r="84" spans="1:27" x14ac:dyDescent="0.2">
      <c r="A84" s="254"/>
      <c r="B84" s="254"/>
      <c r="C84" s="254"/>
      <c r="D84" s="254"/>
      <c r="E84" s="358"/>
      <c r="F84" s="358"/>
      <c r="G84" s="358"/>
      <c r="H84" s="358"/>
      <c r="I84" s="358"/>
      <c r="J84" s="358"/>
      <c r="K84" s="358"/>
      <c r="L84" s="358"/>
      <c r="M84" s="358"/>
      <c r="N84" s="263"/>
      <c r="O84" s="174"/>
      <c r="P84" s="174"/>
      <c r="Q84" s="174"/>
      <c r="R84" s="174"/>
      <c r="S84" s="174"/>
      <c r="T84" s="174"/>
      <c r="U84" s="174"/>
      <c r="V84" s="174"/>
      <c r="W84" s="174"/>
      <c r="X84" s="174"/>
      <c r="Y84" s="174"/>
      <c r="Z84" s="174"/>
      <c r="AA84" s="174"/>
    </row>
    <row r="85" spans="1:27" x14ac:dyDescent="0.2">
      <c r="D85" s="254"/>
      <c r="E85" s="358"/>
      <c r="F85" s="358"/>
      <c r="G85" s="358"/>
      <c r="H85" s="358"/>
      <c r="I85" s="358"/>
      <c r="J85" s="358"/>
      <c r="K85" s="358"/>
      <c r="L85" s="358"/>
      <c r="M85" s="358"/>
      <c r="N85" s="263"/>
      <c r="O85" s="174"/>
      <c r="P85" s="174"/>
      <c r="Q85" s="174"/>
      <c r="R85" s="174"/>
      <c r="S85" s="174"/>
      <c r="T85" s="174"/>
      <c r="U85" s="174"/>
      <c r="V85" s="174"/>
      <c r="W85" s="174"/>
      <c r="X85" s="174"/>
      <c r="Y85" s="174"/>
      <c r="Z85" s="174"/>
      <c r="AA85" s="174"/>
    </row>
    <row r="86" spans="1:27" x14ac:dyDescent="0.2">
      <c r="D86" s="254"/>
      <c r="E86" s="358"/>
      <c r="F86" s="358"/>
      <c r="G86" s="358"/>
      <c r="H86" s="358"/>
      <c r="I86" s="358"/>
      <c r="J86" s="358"/>
      <c r="K86" s="358"/>
      <c r="L86" s="358"/>
      <c r="M86" s="358"/>
      <c r="N86" s="263"/>
      <c r="O86" s="174"/>
      <c r="P86" s="174"/>
      <c r="Q86" s="174"/>
      <c r="R86" s="174"/>
      <c r="S86" s="174"/>
      <c r="T86" s="174"/>
      <c r="U86" s="174"/>
      <c r="V86" s="174"/>
      <c r="W86" s="174"/>
      <c r="X86" s="174"/>
      <c r="Y86" s="174"/>
      <c r="Z86" s="174"/>
      <c r="AA86" s="174"/>
    </row>
    <row r="87" spans="1:27" x14ac:dyDescent="0.2">
      <c r="D87" s="254"/>
      <c r="E87" s="358"/>
      <c r="F87" s="358"/>
      <c r="G87" s="358"/>
      <c r="H87" s="358"/>
      <c r="I87" s="358"/>
      <c r="J87" s="358"/>
      <c r="K87" s="358"/>
      <c r="L87" s="358"/>
      <c r="M87" s="358"/>
      <c r="N87" s="263"/>
      <c r="O87" s="174"/>
      <c r="P87" s="174"/>
      <c r="Q87" s="174"/>
      <c r="R87" s="174"/>
      <c r="S87" s="174"/>
      <c r="T87" s="174"/>
      <c r="U87" s="174"/>
      <c r="V87" s="174"/>
      <c r="W87" s="174"/>
      <c r="X87" s="174"/>
      <c r="Y87" s="174"/>
      <c r="Z87" s="174"/>
      <c r="AA87" s="174"/>
    </row>
    <row r="88" spans="1:27" x14ac:dyDescent="0.2">
      <c r="D88" s="254"/>
      <c r="E88" s="358"/>
      <c r="F88" s="358"/>
      <c r="G88" s="358"/>
      <c r="H88" s="358"/>
      <c r="I88" s="358"/>
      <c r="J88" s="358"/>
      <c r="K88" s="358"/>
      <c r="L88" s="358"/>
      <c r="M88" s="358"/>
      <c r="N88" s="263"/>
      <c r="O88" s="174"/>
      <c r="P88" s="174"/>
      <c r="Q88" s="174"/>
      <c r="R88" s="174"/>
      <c r="S88" s="174"/>
      <c r="T88" s="174"/>
      <c r="U88" s="174"/>
      <c r="V88" s="174"/>
      <c r="W88" s="174"/>
      <c r="X88" s="174"/>
      <c r="Y88" s="174"/>
      <c r="Z88" s="174"/>
      <c r="AA88" s="174"/>
    </row>
    <row r="89" spans="1:27" x14ac:dyDescent="0.2">
      <c r="A89" s="254"/>
      <c r="B89" s="254"/>
      <c r="C89" s="254"/>
      <c r="D89" s="254"/>
      <c r="E89" s="358"/>
      <c r="F89" s="358"/>
      <c r="G89" s="358"/>
      <c r="H89" s="358"/>
      <c r="I89" s="358"/>
      <c r="J89" s="358"/>
      <c r="K89" s="358"/>
      <c r="L89" s="358"/>
      <c r="M89" s="358"/>
      <c r="N89" s="263"/>
      <c r="O89" s="174"/>
      <c r="P89" s="174"/>
      <c r="Q89" s="174"/>
      <c r="R89" s="174"/>
      <c r="S89" s="174"/>
      <c r="T89" s="174"/>
      <c r="U89" s="174"/>
      <c r="V89" s="174"/>
      <c r="W89" s="174"/>
      <c r="X89" s="174"/>
      <c r="Y89" s="174"/>
      <c r="Z89" s="174"/>
      <c r="AA89" s="174"/>
    </row>
    <row r="90" spans="1:27" x14ac:dyDescent="0.2">
      <c r="A90" s="254"/>
      <c r="B90" s="254"/>
      <c r="C90" s="254"/>
      <c r="D90" s="254"/>
      <c r="E90" s="358"/>
      <c r="F90" s="358"/>
      <c r="G90" s="358"/>
      <c r="H90" s="358"/>
      <c r="I90" s="358"/>
      <c r="J90" s="358"/>
      <c r="K90" s="358"/>
      <c r="L90" s="358"/>
      <c r="M90" s="358"/>
      <c r="N90" s="263"/>
      <c r="O90" s="174"/>
      <c r="P90" s="174"/>
      <c r="Q90" s="174"/>
      <c r="R90" s="174"/>
      <c r="S90" s="174"/>
      <c r="T90" s="174"/>
      <c r="U90" s="174"/>
      <c r="V90" s="174"/>
      <c r="W90" s="174"/>
      <c r="X90" s="174"/>
      <c r="Y90" s="174"/>
      <c r="Z90" s="174"/>
      <c r="AA90" s="174"/>
    </row>
    <row r="91" spans="1:27" x14ac:dyDescent="0.2">
      <c r="A91" s="254"/>
      <c r="B91" s="254"/>
      <c r="C91" s="254"/>
      <c r="D91" s="254"/>
      <c r="E91" s="254"/>
      <c r="F91" s="254"/>
      <c r="G91" s="254"/>
      <c r="H91" s="254"/>
      <c r="I91" s="254"/>
      <c r="J91" s="254"/>
      <c r="K91" s="254"/>
      <c r="L91" s="254"/>
      <c r="M91" s="254"/>
      <c r="O91" s="174"/>
      <c r="P91" s="174"/>
      <c r="Q91" s="174"/>
      <c r="R91" s="174"/>
      <c r="S91" s="174"/>
      <c r="T91" s="174"/>
      <c r="U91" s="174"/>
      <c r="V91" s="174"/>
      <c r="W91" s="174"/>
      <c r="X91" s="174"/>
      <c r="Y91" s="174"/>
      <c r="Z91" s="174"/>
      <c r="AA91" s="174"/>
    </row>
    <row r="92" spans="1:27" x14ac:dyDescent="0.2">
      <c r="A92" s="254"/>
      <c r="B92" s="254"/>
      <c r="C92" s="254"/>
      <c r="D92" s="254"/>
      <c r="E92" s="254"/>
      <c r="F92" s="254"/>
      <c r="G92" s="254"/>
      <c r="H92" s="254"/>
      <c r="I92" s="254"/>
      <c r="J92" s="254"/>
      <c r="K92" s="254"/>
      <c r="L92" s="254"/>
      <c r="M92" s="254"/>
      <c r="O92" s="174"/>
      <c r="P92" s="174"/>
      <c r="Q92" s="174"/>
      <c r="R92" s="174"/>
      <c r="S92" s="174"/>
      <c r="T92" s="174"/>
      <c r="U92" s="174"/>
      <c r="V92" s="174"/>
      <c r="W92" s="174"/>
      <c r="X92" s="174"/>
      <c r="Y92" s="174"/>
      <c r="Z92" s="174"/>
      <c r="AA92" s="174"/>
    </row>
    <row r="93" spans="1:27" x14ac:dyDescent="0.2">
      <c r="A93" s="254"/>
      <c r="B93" s="254"/>
      <c r="C93" s="254"/>
      <c r="D93" s="254"/>
      <c r="E93" s="254"/>
      <c r="F93" s="254"/>
      <c r="G93" s="254"/>
      <c r="H93" s="254"/>
      <c r="I93" s="254"/>
      <c r="J93" s="254"/>
      <c r="K93" s="254"/>
      <c r="L93" s="254"/>
      <c r="M93" s="254"/>
      <c r="O93" s="174"/>
      <c r="P93" s="174"/>
      <c r="Q93" s="174"/>
      <c r="R93" s="174"/>
      <c r="S93" s="174"/>
      <c r="T93" s="174"/>
      <c r="U93" s="174"/>
      <c r="V93" s="174"/>
      <c r="W93" s="174"/>
      <c r="X93" s="174"/>
      <c r="Y93" s="174"/>
      <c r="Z93" s="174"/>
      <c r="AA93" s="174"/>
    </row>
    <row r="94" spans="1:27" x14ac:dyDescent="0.2">
      <c r="A94" s="254"/>
      <c r="B94" s="254"/>
      <c r="C94" s="254"/>
      <c r="D94" s="254"/>
      <c r="E94" s="254"/>
      <c r="F94" s="254"/>
      <c r="G94" s="254"/>
      <c r="H94" s="254"/>
      <c r="I94" s="254"/>
      <c r="J94" s="254"/>
      <c r="K94" s="254"/>
      <c r="L94" s="254"/>
      <c r="M94" s="254"/>
      <c r="O94" s="174"/>
      <c r="P94" s="174"/>
      <c r="Q94" s="174"/>
      <c r="R94" s="174"/>
      <c r="S94" s="174"/>
      <c r="T94" s="174"/>
      <c r="U94" s="174"/>
      <c r="V94" s="174"/>
      <c r="W94" s="174"/>
      <c r="X94" s="174"/>
      <c r="Y94" s="174"/>
      <c r="Z94" s="174"/>
      <c r="AA94" s="174"/>
    </row>
    <row r="95" spans="1:27" x14ac:dyDescent="0.2">
      <c r="A95" s="254"/>
      <c r="B95" s="254"/>
      <c r="C95" s="254"/>
      <c r="D95" s="254"/>
      <c r="E95" s="254"/>
      <c r="F95" s="254"/>
      <c r="G95" s="254"/>
      <c r="H95" s="254"/>
      <c r="I95" s="254"/>
      <c r="J95" s="254"/>
      <c r="K95" s="254"/>
      <c r="L95" s="254"/>
      <c r="M95" s="254"/>
      <c r="O95" s="174"/>
      <c r="P95" s="174"/>
      <c r="Q95" s="174"/>
      <c r="R95" s="174"/>
      <c r="S95" s="174"/>
      <c r="T95" s="174"/>
      <c r="U95" s="174"/>
      <c r="V95" s="174"/>
      <c r="W95" s="174"/>
      <c r="X95" s="174"/>
      <c r="Y95" s="174"/>
      <c r="Z95" s="174"/>
      <c r="AA95" s="174"/>
    </row>
    <row r="96" spans="1:27" x14ac:dyDescent="0.2">
      <c r="A96" s="254"/>
      <c r="B96" s="254"/>
      <c r="C96" s="254"/>
      <c r="D96" s="254"/>
      <c r="E96" s="254"/>
      <c r="F96" s="254"/>
      <c r="G96" s="254"/>
      <c r="H96" s="254"/>
      <c r="I96" s="254"/>
      <c r="J96" s="254"/>
      <c r="K96" s="254"/>
      <c r="L96" s="254"/>
      <c r="M96" s="254"/>
      <c r="O96" s="174"/>
      <c r="P96" s="174"/>
      <c r="Q96" s="174"/>
      <c r="R96" s="174"/>
      <c r="S96" s="174"/>
      <c r="T96" s="174"/>
      <c r="U96" s="174"/>
      <c r="V96" s="174"/>
      <c r="W96" s="174"/>
      <c r="X96" s="174"/>
      <c r="Y96" s="174"/>
      <c r="Z96" s="174"/>
      <c r="AA96" s="174"/>
    </row>
    <row r="99" spans="1:27" x14ac:dyDescent="0.2">
      <c r="A99" s="156"/>
      <c r="B99" s="152"/>
      <c r="C99" s="152"/>
      <c r="D99" s="152"/>
      <c r="E99" s="32"/>
      <c r="F99" s="32"/>
    </row>
    <row r="101" spans="1:27" ht="409.5" customHeight="1" x14ac:dyDescent="0.2">
      <c r="A101" s="254"/>
      <c r="B101" s="254"/>
      <c r="C101" s="254"/>
      <c r="D101" s="254"/>
      <c r="E101" s="254"/>
      <c r="F101" s="254"/>
      <c r="G101" s="254"/>
      <c r="H101" s="254"/>
      <c r="I101" s="254"/>
      <c r="J101" s="254"/>
      <c r="K101" s="254"/>
      <c r="L101" s="254"/>
      <c r="M101" s="254"/>
      <c r="O101" s="174"/>
      <c r="P101" s="174"/>
      <c r="Q101" s="174"/>
      <c r="R101" s="174"/>
      <c r="S101" s="174"/>
      <c r="T101" s="174"/>
      <c r="U101" s="174"/>
      <c r="V101" s="174"/>
      <c r="W101" s="174"/>
      <c r="X101" s="174"/>
      <c r="Y101" s="174"/>
      <c r="Z101" s="174"/>
      <c r="AA101" s="174"/>
    </row>
    <row r="102" spans="1:27" x14ac:dyDescent="0.2">
      <c r="A102" s="254"/>
      <c r="B102" s="254"/>
      <c r="C102" s="254"/>
      <c r="D102" s="254"/>
      <c r="E102" s="254"/>
      <c r="F102" s="254"/>
      <c r="G102" s="254"/>
      <c r="H102" s="254"/>
      <c r="I102" s="254"/>
      <c r="J102" s="254"/>
      <c r="K102" s="254"/>
      <c r="L102" s="254"/>
      <c r="M102" s="254"/>
      <c r="O102" s="174"/>
      <c r="P102" s="174"/>
      <c r="Q102" s="174"/>
      <c r="R102" s="174"/>
      <c r="S102" s="174"/>
      <c r="T102" s="174"/>
      <c r="U102" s="174"/>
      <c r="V102" s="174"/>
      <c r="W102" s="174"/>
      <c r="X102" s="174"/>
      <c r="Y102" s="174"/>
      <c r="Z102" s="174"/>
      <c r="AA102" s="174"/>
    </row>
    <row r="103" spans="1:27" x14ac:dyDescent="0.2">
      <c r="A103" s="254"/>
      <c r="B103" s="254"/>
      <c r="C103" s="254"/>
      <c r="D103" s="254"/>
      <c r="E103" s="254"/>
      <c r="F103" s="254"/>
      <c r="G103" s="254"/>
      <c r="H103" s="254"/>
      <c r="I103" s="254"/>
      <c r="J103" s="254"/>
      <c r="K103" s="254"/>
      <c r="L103" s="254"/>
      <c r="M103" s="254"/>
      <c r="O103" s="174"/>
      <c r="P103" s="174"/>
      <c r="Q103" s="174"/>
      <c r="R103" s="174"/>
      <c r="S103" s="174"/>
      <c r="T103" s="174"/>
      <c r="U103" s="174"/>
      <c r="V103" s="174"/>
      <c r="W103" s="174"/>
      <c r="X103" s="174"/>
      <c r="Y103" s="174"/>
      <c r="Z103" s="174"/>
      <c r="AA103" s="174"/>
    </row>
    <row r="104" spans="1:27" x14ac:dyDescent="0.2">
      <c r="A104" s="254"/>
      <c r="B104" s="254"/>
      <c r="C104" s="254"/>
      <c r="D104" s="254"/>
      <c r="E104" s="254"/>
      <c r="F104" s="254"/>
      <c r="G104" s="254"/>
      <c r="H104" s="254"/>
      <c r="I104" s="254"/>
      <c r="J104" s="254"/>
      <c r="K104" s="254"/>
      <c r="L104" s="254"/>
      <c r="M104" s="254"/>
      <c r="O104" s="174"/>
      <c r="P104" s="174"/>
      <c r="Q104" s="174"/>
      <c r="R104" s="174"/>
      <c r="S104" s="174"/>
      <c r="T104" s="174"/>
      <c r="U104" s="174"/>
      <c r="V104" s="174"/>
      <c r="W104" s="174"/>
      <c r="X104" s="174"/>
      <c r="Y104" s="174"/>
      <c r="Z104" s="174"/>
      <c r="AA104" s="174"/>
    </row>
    <row r="105" spans="1:27" x14ac:dyDescent="0.2">
      <c r="A105" s="254"/>
      <c r="B105" s="254"/>
      <c r="C105" s="254"/>
      <c r="D105" s="254"/>
      <c r="E105" s="254"/>
      <c r="F105" s="254"/>
      <c r="G105" s="254"/>
      <c r="H105" s="254"/>
      <c r="I105" s="254"/>
      <c r="J105" s="254"/>
      <c r="K105" s="254"/>
      <c r="L105" s="254"/>
      <c r="M105" s="254"/>
      <c r="O105" s="174"/>
      <c r="P105" s="174"/>
      <c r="Q105" s="174"/>
      <c r="R105" s="174"/>
      <c r="S105" s="174"/>
      <c r="T105" s="174"/>
      <c r="U105" s="174"/>
      <c r="V105" s="174"/>
      <c r="W105" s="174"/>
      <c r="X105" s="174"/>
      <c r="Y105" s="174"/>
      <c r="Z105" s="174"/>
      <c r="AA105" s="174"/>
    </row>
    <row r="106" spans="1:27" x14ac:dyDescent="0.2">
      <c r="A106" s="254"/>
      <c r="B106" s="254"/>
      <c r="C106" s="254"/>
      <c r="D106" s="254"/>
      <c r="E106" s="254"/>
      <c r="F106" s="254"/>
      <c r="G106" s="254"/>
      <c r="H106" s="254"/>
      <c r="I106" s="254"/>
      <c r="J106" s="254"/>
      <c r="K106" s="254"/>
      <c r="L106" s="254"/>
      <c r="M106" s="254"/>
      <c r="O106" s="174"/>
      <c r="P106" s="174"/>
      <c r="Q106" s="174"/>
      <c r="R106" s="174"/>
      <c r="S106" s="174"/>
      <c r="T106" s="174"/>
      <c r="U106" s="174"/>
      <c r="V106" s="174"/>
      <c r="W106" s="174"/>
      <c r="X106" s="174"/>
      <c r="Y106" s="174"/>
      <c r="Z106" s="174"/>
      <c r="AA106" s="174"/>
    </row>
    <row r="107" spans="1:27" x14ac:dyDescent="0.2">
      <c r="A107" s="254"/>
      <c r="B107" s="254"/>
      <c r="C107" s="254"/>
      <c r="D107" s="254"/>
      <c r="E107" s="254"/>
      <c r="F107" s="254"/>
      <c r="G107" s="254"/>
      <c r="H107" s="254"/>
      <c r="I107" s="254"/>
      <c r="J107" s="254"/>
      <c r="K107" s="254"/>
      <c r="L107" s="254"/>
      <c r="M107" s="254"/>
      <c r="O107" s="174"/>
      <c r="P107" s="174"/>
      <c r="Q107" s="174"/>
      <c r="R107" s="174"/>
      <c r="S107" s="174"/>
      <c r="T107" s="174"/>
      <c r="U107" s="174"/>
      <c r="V107" s="174"/>
      <c r="W107" s="174"/>
      <c r="X107" s="174"/>
      <c r="Y107" s="174"/>
      <c r="Z107" s="174"/>
      <c r="AA107" s="174"/>
    </row>
    <row r="108" spans="1:27" x14ac:dyDescent="0.2">
      <c r="A108" s="254"/>
      <c r="B108" s="254"/>
      <c r="C108" s="254"/>
      <c r="D108" s="254"/>
      <c r="E108" s="254"/>
      <c r="F108" s="254"/>
      <c r="G108" s="254"/>
      <c r="H108" s="254"/>
      <c r="I108" s="254"/>
      <c r="J108" s="254"/>
      <c r="K108" s="254"/>
      <c r="L108" s="254"/>
      <c r="M108" s="254"/>
      <c r="O108" s="174"/>
      <c r="P108" s="174"/>
      <c r="Q108" s="174"/>
      <c r="R108" s="174"/>
      <c r="S108" s="174"/>
      <c r="T108" s="174"/>
      <c r="U108" s="174"/>
      <c r="V108" s="174"/>
      <c r="W108" s="174"/>
      <c r="X108" s="174"/>
      <c r="Y108" s="174"/>
      <c r="Z108" s="174"/>
      <c r="AA108" s="174"/>
    </row>
    <row r="109" spans="1:27" x14ac:dyDescent="0.2">
      <c r="A109" s="254"/>
      <c r="B109" s="254"/>
      <c r="C109" s="254"/>
      <c r="D109" s="254"/>
      <c r="E109" s="254"/>
      <c r="F109" s="254"/>
      <c r="G109" s="254"/>
      <c r="H109" s="254"/>
      <c r="I109" s="254"/>
      <c r="J109" s="254"/>
      <c r="K109" s="254"/>
      <c r="L109" s="254"/>
      <c r="M109" s="254"/>
      <c r="O109" s="174"/>
      <c r="P109" s="174"/>
      <c r="Q109" s="174"/>
      <c r="R109" s="174"/>
      <c r="S109" s="174"/>
      <c r="T109" s="174"/>
      <c r="U109" s="174"/>
      <c r="V109" s="174"/>
      <c r="W109" s="174"/>
      <c r="X109" s="174"/>
      <c r="Y109" s="174"/>
      <c r="Z109" s="174"/>
      <c r="AA109" s="174"/>
    </row>
    <row r="110" spans="1:27" x14ac:dyDescent="0.2">
      <c r="A110" s="254"/>
      <c r="B110" s="254"/>
      <c r="C110" s="254"/>
      <c r="D110" s="254"/>
      <c r="E110" s="254"/>
      <c r="F110" s="254"/>
      <c r="G110" s="254"/>
      <c r="H110" s="254"/>
      <c r="I110" s="254"/>
      <c r="J110" s="254"/>
      <c r="K110" s="254"/>
      <c r="L110" s="254"/>
      <c r="M110" s="254"/>
      <c r="O110" s="174"/>
      <c r="P110" s="174"/>
      <c r="Q110" s="174"/>
      <c r="R110" s="174"/>
      <c r="S110" s="174"/>
      <c r="T110" s="174"/>
      <c r="U110" s="174"/>
      <c r="V110" s="174"/>
      <c r="W110" s="174"/>
      <c r="X110" s="174"/>
      <c r="Y110" s="174"/>
      <c r="Z110" s="174"/>
      <c r="AA110" s="174"/>
    </row>
    <row r="111" spans="1:27" x14ac:dyDescent="0.2">
      <c r="A111" s="254"/>
      <c r="B111" s="254"/>
      <c r="C111" s="254"/>
      <c r="D111" s="254"/>
      <c r="E111" s="254"/>
      <c r="F111" s="254"/>
      <c r="G111" s="254"/>
      <c r="H111" s="254"/>
      <c r="I111" s="254"/>
      <c r="J111" s="254"/>
      <c r="K111" s="254"/>
      <c r="L111" s="254"/>
      <c r="M111" s="254"/>
      <c r="O111" s="174"/>
      <c r="P111" s="174"/>
      <c r="Q111" s="174"/>
      <c r="R111" s="174"/>
      <c r="S111" s="174"/>
      <c r="T111" s="174"/>
      <c r="U111" s="174"/>
      <c r="V111" s="174"/>
      <c r="W111" s="174"/>
      <c r="X111" s="174"/>
      <c r="Y111" s="174"/>
      <c r="Z111" s="174"/>
      <c r="AA111" s="174"/>
    </row>
    <row r="112" spans="1:27" x14ac:dyDescent="0.2">
      <c r="A112" s="254"/>
      <c r="B112" s="254"/>
      <c r="C112" s="254"/>
      <c r="D112" s="254"/>
      <c r="E112" s="254"/>
      <c r="F112" s="254"/>
      <c r="G112" s="254"/>
      <c r="H112" s="254"/>
      <c r="I112" s="254"/>
      <c r="J112" s="254"/>
      <c r="K112" s="254"/>
      <c r="L112" s="254"/>
      <c r="M112" s="254"/>
      <c r="O112" s="174"/>
      <c r="P112" s="174"/>
      <c r="Q112" s="174"/>
      <c r="R112" s="174"/>
      <c r="S112" s="174"/>
      <c r="T112" s="174"/>
      <c r="U112" s="174"/>
      <c r="V112" s="174"/>
      <c r="W112" s="174"/>
      <c r="X112" s="174"/>
      <c r="Y112" s="174"/>
      <c r="Z112" s="174"/>
      <c r="AA112" s="174"/>
    </row>
    <row r="113" spans="1:27" x14ac:dyDescent="0.2">
      <c r="A113" s="254"/>
      <c r="B113" s="254"/>
      <c r="C113" s="254"/>
      <c r="D113" s="254"/>
      <c r="E113" s="254"/>
      <c r="F113" s="254"/>
      <c r="G113" s="254"/>
      <c r="H113" s="254"/>
      <c r="I113" s="254"/>
      <c r="J113" s="254"/>
      <c r="K113" s="254"/>
      <c r="L113" s="254"/>
      <c r="M113" s="254"/>
      <c r="O113" s="174"/>
      <c r="P113" s="174"/>
      <c r="Q113" s="174"/>
      <c r="R113" s="174"/>
      <c r="S113" s="174"/>
      <c r="T113" s="174"/>
      <c r="U113" s="174"/>
      <c r="V113" s="174"/>
      <c r="W113" s="174"/>
      <c r="X113" s="174"/>
      <c r="Y113" s="174"/>
      <c r="Z113" s="174"/>
      <c r="AA113" s="174"/>
    </row>
    <row r="114" spans="1:27" x14ac:dyDescent="0.2">
      <c r="A114" s="254"/>
      <c r="B114" s="254"/>
      <c r="C114" s="254"/>
      <c r="D114" s="254"/>
      <c r="E114" s="254"/>
      <c r="F114" s="254"/>
      <c r="G114" s="254"/>
      <c r="H114" s="254"/>
      <c r="I114" s="254"/>
      <c r="J114" s="254"/>
      <c r="K114" s="254"/>
      <c r="L114" s="254"/>
      <c r="M114" s="254"/>
      <c r="O114" s="174"/>
      <c r="P114" s="174"/>
      <c r="Q114" s="174"/>
      <c r="R114" s="174"/>
      <c r="S114" s="174"/>
      <c r="T114" s="174"/>
      <c r="U114" s="174"/>
      <c r="V114" s="174"/>
      <c r="W114" s="174"/>
      <c r="X114" s="174"/>
      <c r="Y114" s="174"/>
      <c r="Z114" s="174"/>
      <c r="AA114" s="174"/>
    </row>
    <row r="115" spans="1:27" x14ac:dyDescent="0.2">
      <c r="A115" s="254"/>
      <c r="B115" s="254"/>
      <c r="C115" s="254"/>
      <c r="D115" s="254"/>
      <c r="E115" s="254"/>
      <c r="F115" s="254"/>
      <c r="G115" s="254"/>
      <c r="H115" s="254"/>
      <c r="I115" s="254"/>
      <c r="J115" s="254"/>
      <c r="K115" s="254"/>
      <c r="L115" s="254"/>
      <c r="M115" s="254"/>
      <c r="O115" s="174"/>
      <c r="P115" s="174"/>
      <c r="Q115" s="174"/>
      <c r="R115" s="174"/>
      <c r="S115" s="174"/>
      <c r="T115" s="174"/>
      <c r="U115" s="174"/>
      <c r="V115" s="174"/>
      <c r="W115" s="174"/>
      <c r="X115" s="174"/>
      <c r="Y115" s="174"/>
      <c r="Z115" s="174"/>
      <c r="AA115" s="174"/>
    </row>
    <row r="116" spans="1:27" x14ac:dyDescent="0.2">
      <c r="A116" s="254"/>
      <c r="B116" s="254"/>
      <c r="C116" s="254"/>
      <c r="D116" s="254"/>
      <c r="E116" s="254"/>
      <c r="F116" s="254"/>
      <c r="G116" s="254"/>
      <c r="H116" s="254"/>
      <c r="I116" s="254"/>
      <c r="J116" s="254"/>
      <c r="K116" s="254"/>
      <c r="L116" s="254"/>
      <c r="M116" s="254"/>
      <c r="O116" s="174"/>
      <c r="P116" s="174"/>
      <c r="Q116" s="174"/>
      <c r="R116" s="174"/>
      <c r="S116" s="174"/>
      <c r="T116" s="174"/>
      <c r="U116" s="174"/>
      <c r="V116" s="174"/>
      <c r="W116" s="174"/>
      <c r="X116" s="174"/>
      <c r="Y116" s="174"/>
      <c r="Z116" s="174"/>
      <c r="AA116" s="174"/>
    </row>
    <row r="117" spans="1:27" x14ac:dyDescent="0.2">
      <c r="A117" s="254"/>
      <c r="B117" s="254"/>
      <c r="C117" s="254"/>
      <c r="D117" s="254"/>
      <c r="E117" s="254"/>
      <c r="F117" s="254"/>
      <c r="G117" s="254"/>
      <c r="H117" s="254"/>
      <c r="I117" s="254"/>
      <c r="J117" s="254"/>
      <c r="K117" s="254"/>
      <c r="L117" s="254"/>
      <c r="M117" s="254"/>
      <c r="O117" s="174"/>
      <c r="P117" s="174"/>
      <c r="Q117" s="174"/>
      <c r="R117" s="174"/>
      <c r="S117" s="174"/>
      <c r="T117" s="174"/>
      <c r="U117" s="174"/>
      <c r="V117" s="174"/>
      <c r="W117" s="174"/>
      <c r="X117" s="174"/>
      <c r="Y117" s="174"/>
      <c r="Z117" s="174"/>
      <c r="AA117" s="174"/>
    </row>
    <row r="120" spans="1:27" x14ac:dyDescent="0.2">
      <c r="A120" s="154"/>
    </row>
  </sheetData>
  <mergeCells count="13">
    <mergeCell ref="E50:T56"/>
    <mergeCell ref="B52:D55"/>
    <mergeCell ref="B9:D11"/>
    <mergeCell ref="E7:T13"/>
    <mergeCell ref="B2:T4"/>
    <mergeCell ref="B34:D36"/>
    <mergeCell ref="E31:T38"/>
    <mergeCell ref="E22:T29"/>
    <mergeCell ref="B24:D26"/>
    <mergeCell ref="B16:D18"/>
    <mergeCell ref="E15:T19"/>
    <mergeCell ref="B43:D46"/>
    <mergeCell ref="E43:T4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599E-0D42-BA49-9547-AD90BC3757C6}">
  <dimension ref="A1:L95"/>
  <sheetViews>
    <sheetView zoomScale="110" workbookViewId="0">
      <selection activeCell="B2" sqref="B2:G4"/>
    </sheetView>
  </sheetViews>
  <sheetFormatPr baseColWidth="10" defaultColWidth="11.5" defaultRowHeight="15" x14ac:dyDescent="0.2"/>
  <cols>
    <col min="1" max="1" width="17.33203125" customWidth="1"/>
    <col min="2" max="2" width="30.33203125" customWidth="1"/>
    <col min="3" max="3" width="25.6640625" customWidth="1"/>
    <col min="4" max="4" width="25.5" customWidth="1"/>
    <col min="5" max="5" width="22.83203125" customWidth="1"/>
    <col min="6" max="6" width="23.33203125" customWidth="1"/>
    <col min="7" max="7" width="23.1640625" customWidth="1"/>
  </cols>
  <sheetData>
    <row r="1" spans="2:12" ht="15" customHeight="1" x14ac:dyDescent="0.2">
      <c r="G1" s="171"/>
      <c r="H1" s="167"/>
      <c r="I1" s="167"/>
      <c r="J1" s="167"/>
      <c r="K1" s="167"/>
      <c r="L1" s="167"/>
    </row>
    <row r="2" spans="2:12" ht="15" customHeight="1" x14ac:dyDescent="0.2">
      <c r="B2" s="505" t="s">
        <v>273</v>
      </c>
      <c r="C2" s="505"/>
      <c r="D2" s="505"/>
      <c r="E2" s="505"/>
      <c r="F2" s="505"/>
      <c r="G2" s="505"/>
      <c r="H2" s="167"/>
      <c r="I2" s="167"/>
      <c r="J2" s="167"/>
      <c r="K2" s="167"/>
      <c r="L2" s="167"/>
    </row>
    <row r="3" spans="2:12" ht="15" customHeight="1" x14ac:dyDescent="0.2">
      <c r="B3" s="505"/>
      <c r="C3" s="505"/>
      <c r="D3" s="505"/>
      <c r="E3" s="505"/>
      <c r="F3" s="505"/>
      <c r="G3" s="505"/>
      <c r="H3" s="167"/>
      <c r="I3" s="167"/>
      <c r="J3" s="167"/>
      <c r="K3" s="167"/>
      <c r="L3" s="167"/>
    </row>
    <row r="4" spans="2:12" ht="18" customHeight="1" x14ac:dyDescent="0.2">
      <c r="B4" s="505"/>
      <c r="C4" s="505"/>
      <c r="D4" s="505"/>
      <c r="E4" s="505"/>
      <c r="F4" s="505"/>
      <c r="G4" s="505"/>
    </row>
    <row r="5" spans="2:12" x14ac:dyDescent="0.2">
      <c r="B5" s="152"/>
      <c r="C5" s="152"/>
      <c r="D5" s="152"/>
      <c r="E5" s="152"/>
      <c r="F5" s="152"/>
      <c r="G5" s="152"/>
    </row>
    <row r="6" spans="2:12" x14ac:dyDescent="0.2">
      <c r="B6" s="506" t="s">
        <v>284</v>
      </c>
      <c r="C6" s="507"/>
      <c r="D6" s="507"/>
      <c r="E6" s="507"/>
      <c r="F6" s="507"/>
      <c r="G6" s="508"/>
    </row>
    <row r="7" spans="2:12" x14ac:dyDescent="0.2">
      <c r="B7" s="509"/>
      <c r="C7" s="510"/>
      <c r="D7" s="510"/>
      <c r="E7" s="510"/>
      <c r="F7" s="510"/>
      <c r="G7" s="511"/>
    </row>
    <row r="8" spans="2:12" x14ac:dyDescent="0.2">
      <c r="B8" s="187" t="s">
        <v>274</v>
      </c>
      <c r="C8" s="152"/>
      <c r="D8" s="152" t="s">
        <v>309</v>
      </c>
      <c r="E8" s="152"/>
      <c r="F8" s="152"/>
      <c r="G8" s="152"/>
    </row>
    <row r="9" spans="2:12" x14ac:dyDescent="0.2">
      <c r="B9" s="152"/>
      <c r="C9" s="152"/>
      <c r="D9" s="152" t="s">
        <v>310</v>
      </c>
      <c r="E9" s="152"/>
      <c r="F9" s="152"/>
      <c r="G9" s="152"/>
    </row>
    <row r="10" spans="2:12" x14ac:dyDescent="0.2">
      <c r="B10" s="152"/>
      <c r="C10" s="152"/>
      <c r="D10" s="152"/>
      <c r="E10" s="152"/>
      <c r="F10" s="152"/>
      <c r="G10" s="152"/>
    </row>
    <row r="11" spans="2:12" x14ac:dyDescent="0.2">
      <c r="B11" s="506" t="s">
        <v>287</v>
      </c>
      <c r="C11" s="507"/>
      <c r="D11" s="507"/>
      <c r="E11" s="507"/>
      <c r="F11" s="507"/>
      <c r="G11" s="508"/>
    </row>
    <row r="12" spans="2:12" x14ac:dyDescent="0.2">
      <c r="B12" s="509"/>
      <c r="C12" s="510"/>
      <c r="D12" s="510"/>
      <c r="E12" s="510"/>
      <c r="F12" s="510"/>
      <c r="G12" s="511"/>
    </row>
    <row r="13" spans="2:12" x14ac:dyDescent="0.2">
      <c r="B13" s="257" t="s">
        <v>278</v>
      </c>
      <c r="C13" s="257" t="s">
        <v>279</v>
      </c>
      <c r="D13" s="257" t="s">
        <v>280</v>
      </c>
      <c r="E13" s="257" t="s">
        <v>281</v>
      </c>
      <c r="F13" s="257" t="s">
        <v>282</v>
      </c>
      <c r="G13" s="257" t="s">
        <v>283</v>
      </c>
    </row>
    <row r="14" spans="2:12" x14ac:dyDescent="0.2">
      <c r="B14" s="151" t="s">
        <v>285</v>
      </c>
      <c r="C14" s="151" t="s">
        <v>286</v>
      </c>
      <c r="D14" s="151">
        <v>111</v>
      </c>
      <c r="E14" s="151">
        <v>1.32</v>
      </c>
      <c r="F14" s="151">
        <v>1.53</v>
      </c>
      <c r="G14" s="328">
        <v>0.21249999999999999</v>
      </c>
    </row>
    <row r="15" spans="2:12" x14ac:dyDescent="0.2">
      <c r="B15" s="152"/>
      <c r="C15" s="152"/>
      <c r="D15" s="152"/>
      <c r="E15" s="152"/>
      <c r="F15" s="152"/>
      <c r="G15" s="152"/>
    </row>
    <row r="16" spans="2:12" x14ac:dyDescent="0.2">
      <c r="B16" s="152"/>
      <c r="C16" s="152"/>
      <c r="D16" s="152"/>
      <c r="E16" s="152"/>
      <c r="F16" s="152"/>
      <c r="G16" s="152"/>
    </row>
    <row r="17" spans="2:8" x14ac:dyDescent="0.2">
      <c r="B17" s="506" t="s">
        <v>292</v>
      </c>
      <c r="C17" s="507"/>
      <c r="D17" s="507"/>
      <c r="E17" s="507"/>
      <c r="F17" s="507"/>
      <c r="G17" s="508"/>
    </row>
    <row r="18" spans="2:8" x14ac:dyDescent="0.2">
      <c r="B18" s="509"/>
      <c r="C18" s="510"/>
      <c r="D18" s="510"/>
      <c r="E18" s="510"/>
      <c r="F18" s="510"/>
      <c r="G18" s="511"/>
    </row>
    <row r="19" spans="2:8" x14ac:dyDescent="0.2">
      <c r="B19" s="156" t="s">
        <v>275</v>
      </c>
      <c r="C19" s="152" t="s">
        <v>288</v>
      </c>
      <c r="D19" s="152"/>
      <c r="E19" s="152"/>
      <c r="F19" s="152"/>
      <c r="G19" s="152"/>
    </row>
    <row r="20" spans="2:8" x14ac:dyDescent="0.2">
      <c r="B20" s="156" t="s">
        <v>277</v>
      </c>
      <c r="C20" s="152" t="s">
        <v>289</v>
      </c>
      <c r="D20" s="152"/>
      <c r="E20" s="152"/>
      <c r="F20" s="152"/>
      <c r="G20" s="152"/>
      <c r="H20" s="326"/>
    </row>
    <row r="21" spans="2:8" x14ac:dyDescent="0.2">
      <c r="B21" s="156" t="s">
        <v>276</v>
      </c>
      <c r="C21" s="329">
        <f>E14</f>
        <v>1.32</v>
      </c>
      <c r="D21" s="152"/>
      <c r="E21" s="152"/>
      <c r="F21" s="152"/>
      <c r="G21" s="152"/>
      <c r="H21" s="148"/>
    </row>
    <row r="22" spans="2:8" x14ac:dyDescent="0.2">
      <c r="B22" s="152"/>
      <c r="C22" s="152"/>
      <c r="D22" s="152"/>
      <c r="E22" s="152"/>
      <c r="F22" s="152"/>
      <c r="G22" s="152"/>
      <c r="H22" s="148"/>
    </row>
    <row r="23" spans="2:8" x14ac:dyDescent="0.2">
      <c r="B23" s="152"/>
      <c r="C23" s="152"/>
      <c r="D23" s="152"/>
      <c r="E23" s="152"/>
      <c r="F23" s="152"/>
      <c r="G23" s="152"/>
    </row>
    <row r="24" spans="2:8" x14ac:dyDescent="0.2">
      <c r="B24" s="506" t="s">
        <v>293</v>
      </c>
      <c r="C24" s="507"/>
      <c r="D24" s="507"/>
      <c r="E24" s="507"/>
      <c r="F24" s="507"/>
      <c r="G24" s="508"/>
    </row>
    <row r="25" spans="2:8" x14ac:dyDescent="0.2">
      <c r="B25" s="509"/>
      <c r="C25" s="510"/>
      <c r="D25" s="510"/>
      <c r="E25" s="510"/>
      <c r="F25" s="510"/>
      <c r="G25" s="511"/>
    </row>
    <row r="26" spans="2:8" x14ac:dyDescent="0.2">
      <c r="B26" s="152" t="s">
        <v>290</v>
      </c>
      <c r="C26" s="244">
        <f>C21*(1+(1-C27)*C28)</f>
        <v>1.5163500000000001</v>
      </c>
      <c r="D26" s="152"/>
      <c r="E26" s="152"/>
      <c r="F26" s="152"/>
      <c r="G26" s="152"/>
    </row>
    <row r="27" spans="2:8" x14ac:dyDescent="0.2">
      <c r="B27" s="152" t="s">
        <v>186</v>
      </c>
      <c r="C27" s="330">
        <v>0.3</v>
      </c>
      <c r="D27" s="152"/>
      <c r="E27" s="152"/>
      <c r="F27" s="152"/>
      <c r="G27" s="152"/>
    </row>
    <row r="28" spans="2:8" x14ac:dyDescent="0.2">
      <c r="B28" s="152" t="s">
        <v>291</v>
      </c>
      <c r="C28" s="327">
        <f>G14</f>
        <v>0.21249999999999999</v>
      </c>
      <c r="D28" s="338" t="s">
        <v>319</v>
      </c>
      <c r="E28" s="152"/>
      <c r="F28" s="152"/>
      <c r="G28" s="152"/>
    </row>
    <row r="29" spans="2:8" x14ac:dyDescent="0.2">
      <c r="B29" s="152"/>
      <c r="C29" s="152"/>
      <c r="D29" s="152"/>
      <c r="E29" s="152"/>
      <c r="F29" s="152"/>
      <c r="G29" s="152"/>
    </row>
    <row r="30" spans="2:8" x14ac:dyDescent="0.2">
      <c r="B30" s="152"/>
      <c r="C30" s="152"/>
      <c r="D30" s="152"/>
      <c r="E30" s="152"/>
      <c r="F30" s="152"/>
      <c r="G30" s="152"/>
    </row>
    <row r="31" spans="2:8" x14ac:dyDescent="0.2">
      <c r="B31" s="506" t="s">
        <v>294</v>
      </c>
      <c r="C31" s="507"/>
      <c r="D31" s="507"/>
      <c r="E31" s="507"/>
      <c r="F31" s="507"/>
      <c r="G31" s="508"/>
    </row>
    <row r="32" spans="2:8" x14ac:dyDescent="0.2">
      <c r="B32" s="509"/>
      <c r="C32" s="510"/>
      <c r="D32" s="510"/>
      <c r="E32" s="510"/>
      <c r="F32" s="510"/>
      <c r="G32" s="511"/>
    </row>
    <row r="33" spans="2:7" ht="17" customHeight="1" x14ac:dyDescent="0.2">
      <c r="B33" s="411" t="s">
        <v>295</v>
      </c>
      <c r="C33" s="411" t="s">
        <v>296</v>
      </c>
      <c r="D33" s="411" t="s">
        <v>297</v>
      </c>
      <c r="E33" s="411" t="s">
        <v>298</v>
      </c>
      <c r="F33" s="411" t="s">
        <v>299</v>
      </c>
      <c r="G33" s="412" t="s">
        <v>97</v>
      </c>
    </row>
    <row r="34" spans="2:7" ht="56" customHeight="1" x14ac:dyDescent="0.2">
      <c r="B34" s="335" t="s">
        <v>300</v>
      </c>
      <c r="C34" s="336">
        <f>'Douglas''s History '!C120</f>
        <v>1</v>
      </c>
      <c r="D34" s="337" t="s">
        <v>302</v>
      </c>
      <c r="E34" s="336">
        <f>C34*(1+(1-C27)*C28)</f>
        <v>1.1487499999999999</v>
      </c>
      <c r="F34" s="350">
        <f>C41+(E34*C42)</f>
        <v>0.10615624999999999</v>
      </c>
      <c r="G34" s="353">
        <f>$C$52*F34+$C$51*$C$50</f>
        <v>9.6340305163253481E-2</v>
      </c>
    </row>
    <row r="35" spans="2:7" ht="56" x14ac:dyDescent="0.2">
      <c r="B35" s="331" t="s">
        <v>301</v>
      </c>
      <c r="C35" s="334">
        <f>C21</f>
        <v>1.32</v>
      </c>
      <c r="D35" s="333" t="s">
        <v>303</v>
      </c>
      <c r="E35" s="332">
        <f>C35*(1+(1-C27)*C28)</f>
        <v>1.5163500000000001</v>
      </c>
      <c r="F35" s="351">
        <f>C41+(E35*C42)</f>
        <v>0.13372624999999999</v>
      </c>
      <c r="G35" s="352">
        <f>$C$52*F35+$C$51*$C$50</f>
        <v>0.11907728416325347</v>
      </c>
    </row>
    <row r="36" spans="2:7" x14ac:dyDescent="0.2">
      <c r="B36" s="152"/>
      <c r="C36" s="152"/>
      <c r="D36" s="152"/>
      <c r="E36" s="152"/>
      <c r="F36" s="152"/>
      <c r="G36" s="152"/>
    </row>
    <row r="37" spans="2:7" x14ac:dyDescent="0.2">
      <c r="B37" s="152"/>
      <c r="C37" s="152"/>
      <c r="D37" s="152"/>
      <c r="E37" s="152"/>
      <c r="F37" s="152"/>
      <c r="G37" s="152"/>
    </row>
    <row r="38" spans="2:7" x14ac:dyDescent="0.2">
      <c r="B38" s="506" t="s">
        <v>304</v>
      </c>
      <c r="C38" s="507"/>
      <c r="D38" s="507"/>
      <c r="E38" s="507"/>
      <c r="F38" s="507"/>
      <c r="G38" s="508"/>
    </row>
    <row r="39" spans="2:7" x14ac:dyDescent="0.2">
      <c r="B39" s="509"/>
      <c r="C39" s="510"/>
      <c r="D39" s="510"/>
      <c r="E39" s="510"/>
      <c r="F39" s="510"/>
      <c r="G39" s="511"/>
    </row>
    <row r="40" spans="2:7" x14ac:dyDescent="0.2">
      <c r="B40" s="513" t="s">
        <v>305</v>
      </c>
      <c r="C40" s="513"/>
      <c r="D40" s="513"/>
      <c r="E40" s="513"/>
      <c r="F40" s="513"/>
      <c r="G40" s="513"/>
    </row>
    <row r="41" spans="2:7" x14ac:dyDescent="0.2">
      <c r="B41" s="152" t="s">
        <v>307</v>
      </c>
      <c r="C41" s="306">
        <f>'Douglas''s History '!C118</f>
        <v>0.02</v>
      </c>
      <c r="D41" s="152"/>
      <c r="E41" s="152"/>
      <c r="F41" s="152"/>
      <c r="G41" s="152"/>
    </row>
    <row r="42" spans="2:7" x14ac:dyDescent="0.2">
      <c r="B42" s="152" t="s">
        <v>102</v>
      </c>
      <c r="C42" s="306">
        <f>'Douglas''s History '!C119</f>
        <v>7.4999999999999997E-2</v>
      </c>
      <c r="D42" s="152"/>
      <c r="E42" s="152"/>
      <c r="F42" s="152"/>
      <c r="G42" s="152"/>
    </row>
    <row r="43" spans="2:7" x14ac:dyDescent="0.2">
      <c r="B43" s="152" t="s">
        <v>306</v>
      </c>
      <c r="C43" s="330">
        <f>'Beta &amp; WACC Estimation'!C27</f>
        <v>0.3</v>
      </c>
      <c r="D43" s="152"/>
      <c r="E43" s="152"/>
      <c r="F43" s="152"/>
      <c r="G43" s="152"/>
    </row>
    <row r="44" spans="2:7" x14ac:dyDescent="0.2">
      <c r="B44" s="152"/>
      <c r="C44" s="152"/>
      <c r="D44" s="152"/>
      <c r="E44" s="152"/>
      <c r="F44" s="152"/>
      <c r="G44" s="152"/>
    </row>
    <row r="45" spans="2:7" x14ac:dyDescent="0.2">
      <c r="B45" s="152"/>
      <c r="C45" s="152"/>
      <c r="D45" s="152"/>
      <c r="E45" s="152"/>
      <c r="F45" s="152"/>
      <c r="G45" s="152"/>
    </row>
    <row r="46" spans="2:7" x14ac:dyDescent="0.2">
      <c r="B46" s="514" t="s">
        <v>308</v>
      </c>
      <c r="C46" s="514"/>
      <c r="D46" s="514"/>
      <c r="E46" s="514"/>
      <c r="F46" s="514"/>
      <c r="G46" s="514"/>
    </row>
    <row r="47" spans="2:7" x14ac:dyDescent="0.2">
      <c r="B47" s="512" t="s">
        <v>274</v>
      </c>
      <c r="C47" s="152" t="s">
        <v>315</v>
      </c>
      <c r="D47" s="152"/>
      <c r="E47" s="152"/>
      <c r="F47" s="152"/>
      <c r="G47" s="152"/>
    </row>
    <row r="48" spans="2:7" x14ac:dyDescent="0.2">
      <c r="B48" s="512"/>
      <c r="C48" s="152" t="s">
        <v>318</v>
      </c>
      <c r="D48" s="152"/>
      <c r="E48" s="152"/>
      <c r="F48" s="152"/>
      <c r="G48" s="152"/>
    </row>
    <row r="49" spans="1:7" x14ac:dyDescent="0.2">
      <c r="B49" s="152" t="s">
        <v>251</v>
      </c>
      <c r="C49" s="306">
        <f>SUM('Douglas''s History '!F130:F133)/('Douglas''s History '!C134)</f>
        <v>7.1658754691984988E-2</v>
      </c>
      <c r="D49" s="152"/>
      <c r="E49" s="152"/>
      <c r="F49" s="152"/>
      <c r="G49" s="152"/>
    </row>
    <row r="50" spans="1:7" x14ac:dyDescent="0.2">
      <c r="B50" s="152" t="s">
        <v>314</v>
      </c>
      <c r="C50" s="327">
        <f>C49*(1-C43)</f>
        <v>5.016112828438949E-2</v>
      </c>
      <c r="D50" s="152"/>
      <c r="E50" s="152"/>
      <c r="F50" s="152"/>
      <c r="G50" s="152"/>
    </row>
    <row r="51" spans="1:7" x14ac:dyDescent="0.2">
      <c r="B51" s="152" t="s">
        <v>312</v>
      </c>
      <c r="C51" s="327">
        <v>0.17530000000000001</v>
      </c>
      <c r="D51" s="153" t="s">
        <v>313</v>
      </c>
      <c r="E51" s="152"/>
      <c r="F51" s="152"/>
      <c r="G51" s="152"/>
    </row>
    <row r="52" spans="1:7" x14ac:dyDescent="0.2">
      <c r="B52" s="152" t="s">
        <v>311</v>
      </c>
      <c r="C52" s="327">
        <v>0.82469999999999999</v>
      </c>
      <c r="D52" s="153" t="s">
        <v>313</v>
      </c>
      <c r="E52" s="152"/>
      <c r="F52" s="152"/>
      <c r="G52" s="152"/>
    </row>
    <row r="53" spans="1:7" x14ac:dyDescent="0.2">
      <c r="B53" s="152"/>
      <c r="C53" s="152"/>
      <c r="D53" s="152"/>
      <c r="E53" s="152"/>
      <c r="F53" s="152"/>
      <c r="G53" s="152"/>
    </row>
    <row r="54" spans="1:7" x14ac:dyDescent="0.2">
      <c r="B54" s="152"/>
      <c r="C54" s="152"/>
      <c r="D54" s="152"/>
      <c r="E54" s="152"/>
      <c r="F54" s="152"/>
      <c r="G54" s="152"/>
    </row>
    <row r="55" spans="1:7" x14ac:dyDescent="0.2">
      <c r="B55" s="499" t="s">
        <v>316</v>
      </c>
      <c r="C55" s="500"/>
      <c r="D55" s="500"/>
      <c r="E55" s="500"/>
      <c r="F55" s="500"/>
      <c r="G55" s="501"/>
    </row>
    <row r="56" spans="1:7" x14ac:dyDescent="0.2">
      <c r="B56" s="502"/>
      <c r="C56" s="503"/>
      <c r="D56" s="503"/>
      <c r="E56" s="503"/>
      <c r="F56" s="503"/>
      <c r="G56" s="504"/>
    </row>
    <row r="57" spans="1:7" x14ac:dyDescent="0.2">
      <c r="B57" s="413" t="s">
        <v>295</v>
      </c>
      <c r="C57" s="413" t="s">
        <v>296</v>
      </c>
      <c r="D57" s="413" t="s">
        <v>298</v>
      </c>
      <c r="E57" s="413" t="s">
        <v>299</v>
      </c>
      <c r="F57" s="413" t="s">
        <v>317</v>
      </c>
      <c r="G57" s="413" t="s">
        <v>97</v>
      </c>
    </row>
    <row r="58" spans="1:7" x14ac:dyDescent="0.2">
      <c r="B58" s="339" t="s">
        <v>300</v>
      </c>
      <c r="C58" s="340">
        <f>C34</f>
        <v>1</v>
      </c>
      <c r="D58" s="340">
        <f>E34</f>
        <v>1.1487499999999999</v>
      </c>
      <c r="E58" s="341">
        <f>F34</f>
        <v>0.10615624999999999</v>
      </c>
      <c r="F58" s="341">
        <f>C50</f>
        <v>5.016112828438949E-2</v>
      </c>
      <c r="G58" s="341">
        <f>G34</f>
        <v>9.6340305163253481E-2</v>
      </c>
    </row>
    <row r="59" spans="1:7" x14ac:dyDescent="0.2">
      <c r="A59" s="152"/>
      <c r="B59" s="339" t="s">
        <v>301</v>
      </c>
      <c r="C59" s="342">
        <f>C35</f>
        <v>1.32</v>
      </c>
      <c r="D59" s="340">
        <f>E35</f>
        <v>1.5163500000000001</v>
      </c>
      <c r="E59" s="341">
        <f>F35</f>
        <v>0.13372624999999999</v>
      </c>
      <c r="F59" s="341">
        <f>C50</f>
        <v>5.016112828438949E-2</v>
      </c>
      <c r="G59" s="341">
        <f>G35</f>
        <v>0.11907728416325347</v>
      </c>
    </row>
    <row r="60" spans="1:7" x14ac:dyDescent="0.2">
      <c r="A60" s="152"/>
      <c r="B60" s="152"/>
      <c r="C60" s="152"/>
      <c r="D60" s="152"/>
      <c r="E60" s="152"/>
      <c r="F60" s="152"/>
    </row>
    <row r="61" spans="1:7" x14ac:dyDescent="0.2">
      <c r="A61" s="152"/>
      <c r="B61" s="152"/>
      <c r="C61" s="152"/>
      <c r="D61" s="152"/>
      <c r="E61" s="152"/>
      <c r="F61" s="152"/>
    </row>
    <row r="62" spans="1:7" x14ac:dyDescent="0.2">
      <c r="A62" s="152"/>
      <c r="B62" s="152"/>
      <c r="C62" s="152"/>
      <c r="D62" s="152"/>
      <c r="E62" s="152"/>
      <c r="F62" s="152"/>
    </row>
    <row r="63" spans="1:7" x14ac:dyDescent="0.2">
      <c r="A63" s="152"/>
      <c r="B63" s="152"/>
      <c r="C63" s="152"/>
      <c r="D63" s="152"/>
      <c r="E63" s="152"/>
      <c r="F63" s="152"/>
    </row>
    <row r="64" spans="1:7" x14ac:dyDescent="0.2">
      <c r="A64" s="152"/>
      <c r="B64" s="152"/>
      <c r="C64" s="152"/>
      <c r="D64" s="152"/>
      <c r="E64" s="152"/>
      <c r="F64" s="152"/>
    </row>
    <row r="65" spans="1:6" x14ac:dyDescent="0.2">
      <c r="A65" s="152"/>
      <c r="B65" s="152"/>
      <c r="C65" s="152"/>
      <c r="D65" s="152"/>
      <c r="E65" s="152"/>
      <c r="F65" s="152"/>
    </row>
    <row r="66" spans="1:6" x14ac:dyDescent="0.2">
      <c r="A66" s="152"/>
      <c r="B66" s="152"/>
      <c r="C66" s="152"/>
      <c r="D66" s="152"/>
      <c r="E66" s="152"/>
      <c r="F66" s="152"/>
    </row>
    <row r="67" spans="1:6" x14ac:dyDescent="0.2">
      <c r="A67" s="152"/>
      <c r="B67" s="152"/>
      <c r="C67" s="152"/>
      <c r="D67" s="152"/>
      <c r="E67" s="152"/>
      <c r="F67" s="152"/>
    </row>
    <row r="68" spans="1:6" x14ac:dyDescent="0.2">
      <c r="A68" s="152"/>
      <c r="B68" s="152"/>
      <c r="C68" s="152"/>
      <c r="D68" s="152"/>
      <c r="E68" s="152"/>
      <c r="F68" s="152"/>
    </row>
    <row r="69" spans="1:6" x14ac:dyDescent="0.2">
      <c r="A69" s="152"/>
      <c r="B69" s="152"/>
      <c r="C69" s="152"/>
      <c r="D69" s="152"/>
      <c r="E69" s="152"/>
      <c r="F69" s="152"/>
    </row>
    <row r="70" spans="1:6" x14ac:dyDescent="0.2">
      <c r="A70" s="152"/>
      <c r="B70" s="152"/>
      <c r="C70" s="152"/>
      <c r="D70" s="152"/>
      <c r="E70" s="152"/>
      <c r="F70" s="152"/>
    </row>
    <row r="71" spans="1:6" x14ac:dyDescent="0.2">
      <c r="A71" s="152"/>
      <c r="B71" s="152"/>
      <c r="C71" s="152"/>
      <c r="D71" s="152"/>
      <c r="E71" s="152"/>
      <c r="F71" s="152"/>
    </row>
    <row r="72" spans="1:6" x14ac:dyDescent="0.2">
      <c r="A72" s="152"/>
      <c r="B72" s="152"/>
      <c r="C72" s="152"/>
      <c r="D72" s="152"/>
      <c r="E72" s="152"/>
      <c r="F72" s="152"/>
    </row>
    <row r="73" spans="1:6" x14ac:dyDescent="0.2">
      <c r="A73" s="152"/>
      <c r="B73" s="152"/>
      <c r="C73" s="152"/>
      <c r="D73" s="152"/>
      <c r="E73" s="152"/>
      <c r="F73" s="152"/>
    </row>
    <row r="74" spans="1:6" x14ac:dyDescent="0.2">
      <c r="A74" s="152"/>
      <c r="B74" s="152"/>
      <c r="C74" s="152"/>
      <c r="D74" s="152"/>
      <c r="E74" s="152"/>
      <c r="F74" s="152"/>
    </row>
    <row r="75" spans="1:6" x14ac:dyDescent="0.2">
      <c r="A75" s="152"/>
      <c r="B75" s="152"/>
      <c r="C75" s="152"/>
      <c r="D75" s="152"/>
      <c r="E75" s="152"/>
      <c r="F75" s="152"/>
    </row>
    <row r="76" spans="1:6" x14ac:dyDescent="0.2">
      <c r="A76" s="152"/>
      <c r="B76" s="152"/>
      <c r="C76" s="152"/>
      <c r="D76" s="152"/>
      <c r="E76" s="152"/>
      <c r="F76" s="152"/>
    </row>
    <row r="77" spans="1:6" x14ac:dyDescent="0.2">
      <c r="A77" s="152"/>
      <c r="B77" s="152"/>
      <c r="C77" s="152"/>
      <c r="D77" s="152"/>
      <c r="E77" s="152"/>
      <c r="F77" s="152"/>
    </row>
    <row r="78" spans="1:6" x14ac:dyDescent="0.2">
      <c r="A78" s="152"/>
      <c r="B78" s="152"/>
      <c r="C78" s="152"/>
      <c r="D78" s="152"/>
      <c r="E78" s="152"/>
      <c r="F78" s="152"/>
    </row>
    <row r="79" spans="1:6" x14ac:dyDescent="0.2">
      <c r="A79" s="152"/>
      <c r="B79" s="152"/>
      <c r="C79" s="152"/>
      <c r="D79" s="152"/>
      <c r="E79" s="152"/>
      <c r="F79" s="152"/>
    </row>
    <row r="80" spans="1:6" x14ac:dyDescent="0.2">
      <c r="A80" s="152"/>
      <c r="B80" s="152"/>
      <c r="C80" s="152"/>
      <c r="D80" s="152"/>
      <c r="E80" s="152"/>
      <c r="F80" s="152"/>
    </row>
    <row r="81" spans="1:6" x14ac:dyDescent="0.2">
      <c r="A81" s="152"/>
      <c r="B81" s="152"/>
      <c r="C81" s="152"/>
      <c r="D81" s="152"/>
      <c r="E81" s="152"/>
      <c r="F81" s="152"/>
    </row>
    <row r="82" spans="1:6" x14ac:dyDescent="0.2">
      <c r="A82" s="152"/>
      <c r="B82" s="152"/>
      <c r="C82" s="152"/>
      <c r="D82" s="152"/>
      <c r="E82" s="152"/>
      <c r="F82" s="152"/>
    </row>
    <row r="83" spans="1:6" x14ac:dyDescent="0.2">
      <c r="A83" s="152"/>
      <c r="B83" s="152"/>
      <c r="C83" s="152"/>
      <c r="D83" s="152"/>
      <c r="E83" s="152"/>
      <c r="F83" s="152"/>
    </row>
    <row r="84" spans="1:6" x14ac:dyDescent="0.2">
      <c r="A84" s="152"/>
      <c r="B84" s="152"/>
      <c r="C84" s="152"/>
      <c r="D84" s="152"/>
      <c r="E84" s="152"/>
      <c r="F84" s="152"/>
    </row>
    <row r="85" spans="1:6" x14ac:dyDescent="0.2">
      <c r="A85" s="152"/>
      <c r="B85" s="152"/>
      <c r="C85" s="152"/>
      <c r="D85" s="152"/>
      <c r="E85" s="152"/>
      <c r="F85" s="152"/>
    </row>
    <row r="86" spans="1:6" x14ac:dyDescent="0.2">
      <c r="A86" s="152"/>
      <c r="B86" s="152"/>
      <c r="C86" s="152"/>
      <c r="D86" s="152"/>
      <c r="E86" s="152"/>
      <c r="F86" s="152"/>
    </row>
    <row r="87" spans="1:6" x14ac:dyDescent="0.2">
      <c r="A87" s="152"/>
      <c r="B87" s="152"/>
      <c r="C87" s="152"/>
      <c r="D87" s="152"/>
      <c r="E87" s="152"/>
      <c r="F87" s="152"/>
    </row>
    <row r="88" spans="1:6" x14ac:dyDescent="0.2">
      <c r="A88" s="152"/>
      <c r="B88" s="152"/>
      <c r="C88" s="152"/>
      <c r="D88" s="152"/>
      <c r="E88" s="152"/>
      <c r="F88" s="152"/>
    </row>
    <row r="89" spans="1:6" x14ac:dyDescent="0.2">
      <c r="A89" s="152"/>
      <c r="B89" s="152"/>
      <c r="C89" s="152"/>
      <c r="D89" s="152"/>
      <c r="E89" s="152"/>
      <c r="F89" s="152"/>
    </row>
    <row r="90" spans="1:6" x14ac:dyDescent="0.2">
      <c r="A90" s="152"/>
      <c r="B90" s="152"/>
      <c r="C90" s="152"/>
      <c r="D90" s="152"/>
      <c r="E90" s="152"/>
      <c r="F90" s="152"/>
    </row>
    <row r="91" spans="1:6" x14ac:dyDescent="0.2">
      <c r="A91" s="152"/>
      <c r="B91" s="152"/>
      <c r="C91" s="152"/>
      <c r="D91" s="152"/>
      <c r="E91" s="152"/>
      <c r="F91" s="152"/>
    </row>
    <row r="92" spans="1:6" x14ac:dyDescent="0.2">
      <c r="A92" s="152"/>
      <c r="B92" s="152"/>
      <c r="C92" s="152"/>
      <c r="D92" s="152"/>
      <c r="E92" s="152"/>
      <c r="F92" s="152"/>
    </row>
    <row r="93" spans="1:6" x14ac:dyDescent="0.2">
      <c r="A93" s="152"/>
      <c r="B93" s="152"/>
      <c r="C93" s="152"/>
      <c r="D93" s="152"/>
      <c r="E93" s="152"/>
      <c r="F93" s="152"/>
    </row>
    <row r="94" spans="1:6" x14ac:dyDescent="0.2">
      <c r="A94" s="152"/>
      <c r="B94" s="152"/>
      <c r="C94" s="152"/>
      <c r="D94" s="152"/>
      <c r="E94" s="152"/>
      <c r="F94" s="152"/>
    </row>
    <row r="95" spans="1:6" x14ac:dyDescent="0.2">
      <c r="A95" s="152"/>
      <c r="B95" s="152"/>
      <c r="C95" s="152"/>
      <c r="D95" s="152"/>
      <c r="E95" s="152"/>
      <c r="F95" s="152"/>
    </row>
  </sheetData>
  <mergeCells count="11">
    <mergeCell ref="B55:G56"/>
    <mergeCell ref="B2:G4"/>
    <mergeCell ref="B6:G7"/>
    <mergeCell ref="B11:G12"/>
    <mergeCell ref="B47:B48"/>
    <mergeCell ref="B17:G18"/>
    <mergeCell ref="B24:G25"/>
    <mergeCell ref="B31:G32"/>
    <mergeCell ref="B38:G39"/>
    <mergeCell ref="B40:G40"/>
    <mergeCell ref="B46:G4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9D28-33CB-5641-91C4-FFE9C83C6B4B}">
  <dimension ref="A1:S55"/>
  <sheetViews>
    <sheetView zoomScale="125" zoomScaleNormal="91" workbookViewId="0">
      <selection activeCell="B2" sqref="B2:I4"/>
    </sheetView>
  </sheetViews>
  <sheetFormatPr baseColWidth="10" defaultColWidth="11.5" defaultRowHeight="15" x14ac:dyDescent="0.2"/>
  <cols>
    <col min="2" max="2" width="51.83203125" customWidth="1"/>
    <col min="3" max="3" width="13.33203125" bestFit="1" customWidth="1"/>
    <col min="4" max="4" width="12.1640625" bestFit="1" customWidth="1"/>
    <col min="5" max="5" width="14.1640625" bestFit="1" customWidth="1"/>
    <col min="6" max="9" width="15.1640625" bestFit="1" customWidth="1"/>
    <col min="11" max="11" width="20.6640625" customWidth="1"/>
    <col min="12" max="12" width="23" customWidth="1"/>
    <col min="13" max="13" width="11.83203125" bestFit="1" customWidth="1"/>
    <col min="14" max="14" width="13.1640625" bestFit="1" customWidth="1"/>
    <col min="15" max="17" width="13" bestFit="1" customWidth="1"/>
    <col min="18" max="18" width="15.5" customWidth="1"/>
    <col min="19" max="19" width="16.6640625" customWidth="1"/>
  </cols>
  <sheetData>
    <row r="1" spans="1:19" x14ac:dyDescent="0.2">
      <c r="A1" s="152"/>
    </row>
    <row r="2" spans="1:19" x14ac:dyDescent="0.2">
      <c r="A2" s="152"/>
      <c r="B2" s="515" t="s">
        <v>259</v>
      </c>
      <c r="C2" s="515"/>
      <c r="D2" s="515"/>
      <c r="E2" s="515"/>
      <c r="F2" s="515"/>
      <c r="G2" s="515"/>
      <c r="H2" s="515"/>
      <c r="I2" s="515"/>
    </row>
    <row r="3" spans="1:19" x14ac:dyDescent="0.2">
      <c r="A3" s="152"/>
      <c r="B3" s="515"/>
      <c r="C3" s="515"/>
      <c r="D3" s="515"/>
      <c r="E3" s="515"/>
      <c r="F3" s="515"/>
      <c r="G3" s="515"/>
      <c r="H3" s="515"/>
      <c r="I3" s="515"/>
    </row>
    <row r="4" spans="1:19" x14ac:dyDescent="0.2">
      <c r="A4" s="152"/>
      <c r="B4" s="515"/>
      <c r="C4" s="515"/>
      <c r="D4" s="515"/>
      <c r="E4" s="515"/>
      <c r="F4" s="515"/>
      <c r="G4" s="515"/>
      <c r="H4" s="515"/>
      <c r="I4" s="515"/>
    </row>
    <row r="5" spans="1:19" x14ac:dyDescent="0.2">
      <c r="A5" s="152"/>
    </row>
    <row r="6" spans="1:19" x14ac:dyDescent="0.2">
      <c r="A6" s="152"/>
      <c r="B6" s="152"/>
      <c r="C6" s="152"/>
      <c r="D6" s="152"/>
      <c r="E6" s="152"/>
      <c r="F6" s="152"/>
      <c r="G6" s="152"/>
      <c r="H6" s="152"/>
      <c r="I6" s="152"/>
      <c r="J6" s="152"/>
    </row>
    <row r="7" spans="1:19" x14ac:dyDescent="0.2">
      <c r="A7" s="152"/>
      <c r="B7" s="101" t="s">
        <v>255</v>
      </c>
      <c r="C7" s="43">
        <v>2023</v>
      </c>
      <c r="D7" s="151">
        <v>2024</v>
      </c>
      <c r="E7" s="151">
        <v>2025</v>
      </c>
      <c r="F7" s="151">
        <v>2026</v>
      </c>
      <c r="G7" s="151">
        <v>2027</v>
      </c>
      <c r="H7" s="151">
        <v>2028</v>
      </c>
      <c r="I7" s="151">
        <v>2029</v>
      </c>
      <c r="J7" s="152"/>
      <c r="L7" s="187" t="s">
        <v>178</v>
      </c>
      <c r="M7" s="187"/>
      <c r="N7" s="156"/>
      <c r="O7" s="156"/>
    </row>
    <row r="8" spans="1:19" x14ac:dyDescent="0.2">
      <c r="A8" s="152"/>
      <c r="B8" s="405" t="s">
        <v>179</v>
      </c>
      <c r="C8" s="406">
        <f>'Douglas''s History '!C81</f>
        <v>4093.9</v>
      </c>
      <c r="D8" s="407">
        <f>C8*(1+D9)</f>
        <v>4380.473</v>
      </c>
      <c r="E8" s="407">
        <f>D8*(1+E9)</f>
        <v>4665.2037449999998</v>
      </c>
      <c r="F8" s="407">
        <f>E8*(1+F9)</f>
        <v>4945.1159697000003</v>
      </c>
      <c r="G8" s="407">
        <f t="shared" ref="G8" si="0">F8*(1+G9)</f>
        <v>5192.3717681850003</v>
      </c>
      <c r="H8" s="407">
        <f>G8*(1+H9)</f>
        <v>5426.0284977533247</v>
      </c>
      <c r="I8" s="408">
        <f>H8*(1+I9)</f>
        <v>5615.9394951746908</v>
      </c>
      <c r="J8" s="152"/>
      <c r="K8" s="152"/>
      <c r="L8" s="402" t="s">
        <v>179</v>
      </c>
      <c r="M8" s="403">
        <f>(I8/C8)^(1/6)-1</f>
        <v>5.4097698267764116E-2</v>
      </c>
      <c r="N8" s="188" t="s">
        <v>180</v>
      </c>
      <c r="O8" s="156" t="s">
        <v>181</v>
      </c>
      <c r="P8" s="152"/>
      <c r="Q8" s="152"/>
      <c r="R8" s="152"/>
      <c r="S8" s="152"/>
    </row>
    <row r="9" spans="1:19" x14ac:dyDescent="0.2">
      <c r="A9" s="152"/>
      <c r="B9" s="285" t="s">
        <v>197</v>
      </c>
      <c r="C9" s="399">
        <f>('Douglas''s History '!C5-'Douglas''s History '!D5)/'Douglas''s History '!D5</f>
        <v>0.11322909585316114</v>
      </c>
      <c r="D9" s="400">
        <v>7.0000000000000007E-2</v>
      </c>
      <c r="E9" s="400">
        <v>6.5000000000000002E-2</v>
      </c>
      <c r="F9" s="400">
        <v>0.06</v>
      </c>
      <c r="G9" s="400">
        <f>5%</f>
        <v>0.05</v>
      </c>
      <c r="H9" s="400">
        <f>4.5%</f>
        <v>4.4999999999999998E-2</v>
      </c>
      <c r="I9" s="401">
        <v>3.5000000000000003E-2</v>
      </c>
      <c r="J9" s="152"/>
      <c r="K9" s="152"/>
      <c r="P9" s="156"/>
      <c r="Q9" s="156"/>
      <c r="R9" s="156"/>
      <c r="S9" s="156"/>
    </row>
    <row r="10" spans="1:19" x14ac:dyDescent="0.2">
      <c r="A10" s="152"/>
      <c r="B10" s="280" t="s">
        <v>166</v>
      </c>
      <c r="C10" s="281">
        <v>725.9</v>
      </c>
      <c r="D10" s="282">
        <f t="shared" ref="D10:I10" si="1">D8*D11</f>
        <v>806.00703199999998</v>
      </c>
      <c r="E10" s="282">
        <f t="shared" si="1"/>
        <v>863.062692825</v>
      </c>
      <c r="F10" s="282">
        <f t="shared" si="1"/>
        <v>939.57203424300008</v>
      </c>
      <c r="G10" s="282">
        <f t="shared" si="1"/>
        <v>1012.5124947960751</v>
      </c>
      <c r="H10" s="282">
        <f t="shared" si="1"/>
        <v>1068.927614057405</v>
      </c>
      <c r="I10" s="283">
        <f t="shared" si="1"/>
        <v>1123.1878990349383</v>
      </c>
      <c r="J10" s="152"/>
      <c r="Q10" s="152"/>
      <c r="R10" s="152"/>
      <c r="S10" s="152"/>
    </row>
    <row r="11" spans="1:19" x14ac:dyDescent="0.2">
      <c r="A11" s="152"/>
      <c r="B11" s="276" t="s">
        <v>167</v>
      </c>
      <c r="C11" s="270">
        <f>C10/C8</f>
        <v>0.17731258701971225</v>
      </c>
      <c r="D11" s="271">
        <v>0.184</v>
      </c>
      <c r="E11" s="271">
        <v>0.185</v>
      </c>
      <c r="F11" s="271">
        <v>0.19</v>
      </c>
      <c r="G11" s="271">
        <v>0.19500000000000001</v>
      </c>
      <c r="H11" s="271">
        <v>0.19700000000000001</v>
      </c>
      <c r="I11" s="277">
        <v>0.2</v>
      </c>
      <c r="J11" s="152"/>
      <c r="L11" s="187" t="s">
        <v>182</v>
      </c>
      <c r="M11" s="187"/>
      <c r="N11" s="187"/>
      <c r="O11" s="187"/>
      <c r="P11" s="187"/>
      <c r="Q11" s="187"/>
      <c r="R11" s="187"/>
      <c r="S11" s="187"/>
    </row>
    <row r="12" spans="1:19" x14ac:dyDescent="0.2">
      <c r="A12" s="152"/>
      <c r="B12" s="267" t="s">
        <v>168</v>
      </c>
      <c r="C12" s="151">
        <v>345.9</v>
      </c>
      <c r="D12" s="269">
        <f>D13*D8</f>
        <v>409.57422550000001</v>
      </c>
      <c r="E12" s="269">
        <f t="shared" ref="E12:G12" si="2">E13*E8</f>
        <v>426.86614266749996</v>
      </c>
      <c r="F12" s="269">
        <f t="shared" si="2"/>
        <v>436.15922852754005</v>
      </c>
      <c r="G12" s="269">
        <f t="shared" si="2"/>
        <v>438.75541441163256</v>
      </c>
      <c r="H12" s="269">
        <f>H13*H8</f>
        <v>436.79529406914264</v>
      </c>
      <c r="I12" s="268">
        <f>I13*I8</f>
        <v>430.74255927989879</v>
      </c>
      <c r="J12" s="397"/>
      <c r="L12" s="101"/>
      <c r="M12" s="43">
        <v>2023</v>
      </c>
      <c r="N12" s="151">
        <v>2024</v>
      </c>
      <c r="O12" s="151">
        <v>2025</v>
      </c>
      <c r="P12" s="151">
        <v>2026</v>
      </c>
      <c r="Q12" s="151">
        <v>2027</v>
      </c>
      <c r="R12" s="151">
        <v>2028</v>
      </c>
      <c r="S12" s="151">
        <v>2029</v>
      </c>
    </row>
    <row r="13" spans="1:19" x14ac:dyDescent="0.2">
      <c r="A13" s="152"/>
      <c r="B13" s="278" t="s">
        <v>183</v>
      </c>
      <c r="C13" s="279">
        <f>C12/C8</f>
        <v>8.44915606145729E-2</v>
      </c>
      <c r="D13" s="279">
        <v>9.35E-2</v>
      </c>
      <c r="E13" s="279">
        <v>9.1499999999999998E-2</v>
      </c>
      <c r="F13" s="279">
        <v>8.8200000000000001E-2</v>
      </c>
      <c r="G13" s="279">
        <v>8.4500000000000006E-2</v>
      </c>
      <c r="H13" s="279">
        <v>8.0500000000000002E-2</v>
      </c>
      <c r="I13" s="284">
        <v>7.6700000000000004E-2</v>
      </c>
      <c r="J13" s="152"/>
      <c r="K13" s="152"/>
      <c r="L13" s="161" t="s">
        <v>179</v>
      </c>
      <c r="M13" s="150">
        <v>4093.8</v>
      </c>
      <c r="N13" s="175">
        <v>4433.2620000000006</v>
      </c>
      <c r="O13" s="175">
        <v>4780.1385900000005</v>
      </c>
      <c r="P13" s="175">
        <v>5131.8264942000005</v>
      </c>
      <c r="Q13" s="175">
        <v>5468.7063100500009</v>
      </c>
      <c r="R13" s="175">
        <v>5802.7139918005505</v>
      </c>
      <c r="S13" s="176">
        <v>6130.6508800727206</v>
      </c>
    </row>
    <row r="14" spans="1:19" x14ac:dyDescent="0.2">
      <c r="A14" s="152"/>
      <c r="B14" s="280" t="s">
        <v>169</v>
      </c>
      <c r="C14" s="289">
        <f>C10-C12</f>
        <v>380</v>
      </c>
      <c r="D14" s="289">
        <f>D8*D15</f>
        <v>396.43280649999997</v>
      </c>
      <c r="E14" s="289">
        <f t="shared" ref="E14:I14" si="3">E8*E15</f>
        <v>436.19655015749998</v>
      </c>
      <c r="F14" s="289">
        <f t="shared" si="3"/>
        <v>503.41280571546002</v>
      </c>
      <c r="G14" s="289">
        <f t="shared" si="3"/>
        <v>573.75708038444259</v>
      </c>
      <c r="H14" s="289">
        <f t="shared" si="3"/>
        <v>632.13231998826234</v>
      </c>
      <c r="I14" s="290">
        <f t="shared" si="3"/>
        <v>692.44533975503941</v>
      </c>
      <c r="J14" s="152"/>
      <c r="K14" s="152"/>
      <c r="L14" s="161" t="s">
        <v>182</v>
      </c>
      <c r="M14" s="150">
        <f>-('Douglas''s History '!D168-'Douglas''s History '!D167)</f>
        <v>114.9</v>
      </c>
      <c r="N14" s="169">
        <f>N13*N15</f>
        <v>155.16417000000004</v>
      </c>
      <c r="O14" s="169">
        <f t="shared" ref="O14:R14" si="4">O13*O15</f>
        <v>162.52471206000004</v>
      </c>
      <c r="P14" s="169">
        <f t="shared" si="4"/>
        <v>169.35027430860004</v>
      </c>
      <c r="Q14" s="169">
        <f t="shared" si="4"/>
        <v>174.99860192160003</v>
      </c>
      <c r="R14" s="169">
        <f t="shared" si="4"/>
        <v>179.88413374581705</v>
      </c>
      <c r="S14" s="169">
        <f>S13*S15</f>
        <v>183.91952640218162</v>
      </c>
    </row>
    <row r="15" spans="1:19" x14ac:dyDescent="0.2">
      <c r="A15" s="152"/>
      <c r="B15" s="276" t="s">
        <v>185</v>
      </c>
      <c r="C15" s="270">
        <f>C14/C8</f>
        <v>9.2821026405139354E-2</v>
      </c>
      <c r="D15" s="270">
        <v>9.0499999999999997E-2</v>
      </c>
      <c r="E15" s="270">
        <v>9.35E-2</v>
      </c>
      <c r="F15" s="270">
        <v>0.1018</v>
      </c>
      <c r="G15" s="270">
        <v>0.1105</v>
      </c>
      <c r="H15" s="270">
        <v>0.11650000000000001</v>
      </c>
      <c r="I15" s="291">
        <v>0.12330000000000001</v>
      </c>
      <c r="J15" s="152"/>
      <c r="K15" s="152"/>
      <c r="L15" s="168" t="s">
        <v>184</v>
      </c>
      <c r="M15" s="160">
        <f>M14/M13</f>
        <v>2.8066832771508135E-2</v>
      </c>
      <c r="N15" s="159">
        <v>3.5000000000000003E-2</v>
      </c>
      <c r="O15" s="159">
        <v>3.4000000000000002E-2</v>
      </c>
      <c r="P15" s="159">
        <v>3.3000000000000002E-2</v>
      </c>
      <c r="Q15" s="159">
        <v>3.2000000000000001E-2</v>
      </c>
      <c r="R15" s="159">
        <v>3.1E-2</v>
      </c>
      <c r="S15" s="344">
        <v>0.03</v>
      </c>
    </row>
    <row r="16" spans="1:19" x14ac:dyDescent="0.2">
      <c r="A16" s="152"/>
      <c r="B16" s="267" t="s">
        <v>186</v>
      </c>
      <c r="C16" s="272">
        <v>0.3</v>
      </c>
      <c r="D16" s="272">
        <v>0.3</v>
      </c>
      <c r="E16" s="272">
        <v>0.3</v>
      </c>
      <c r="F16" s="272">
        <v>0.3</v>
      </c>
      <c r="G16" s="272">
        <v>0.3</v>
      </c>
      <c r="H16" s="272">
        <v>0.3</v>
      </c>
      <c r="I16" s="292">
        <v>0.3</v>
      </c>
      <c r="J16" s="152"/>
      <c r="K16" s="152"/>
      <c r="L16" s="152"/>
      <c r="M16" s="152"/>
      <c r="N16" s="152"/>
      <c r="O16" s="152"/>
      <c r="P16" s="152"/>
      <c r="Q16" s="152"/>
      <c r="R16" s="152"/>
      <c r="S16" s="152"/>
    </row>
    <row r="17" spans="1:19" x14ac:dyDescent="0.2">
      <c r="A17" s="152"/>
      <c r="B17" s="267" t="s">
        <v>187</v>
      </c>
      <c r="C17" s="155">
        <f t="shared" ref="C17:I17" si="5">C16*C14</f>
        <v>114</v>
      </c>
      <c r="D17" s="155">
        <f t="shared" si="5"/>
        <v>118.92984194999998</v>
      </c>
      <c r="E17" s="155">
        <f t="shared" si="5"/>
        <v>130.85896504725</v>
      </c>
      <c r="F17" s="155">
        <f t="shared" si="5"/>
        <v>151.023841714638</v>
      </c>
      <c r="G17" s="155">
        <f t="shared" si="5"/>
        <v>172.12712411533278</v>
      </c>
      <c r="H17" s="155">
        <f t="shared" si="5"/>
        <v>189.63969599647871</v>
      </c>
      <c r="I17" s="293">
        <f t="shared" si="5"/>
        <v>207.73360192651182</v>
      </c>
      <c r="J17" s="152"/>
      <c r="K17" s="152"/>
      <c r="L17" s="152"/>
      <c r="M17" s="152"/>
      <c r="N17" s="152"/>
      <c r="O17" s="152"/>
      <c r="P17" s="152"/>
      <c r="Q17" s="152"/>
      <c r="R17" s="152"/>
      <c r="S17" s="152"/>
    </row>
    <row r="18" spans="1:19" x14ac:dyDescent="0.2">
      <c r="A18" s="152"/>
      <c r="B18" s="294" t="s">
        <v>188</v>
      </c>
      <c r="C18" s="295">
        <f t="shared" ref="C18:I18" si="6">C14-C17</f>
        <v>266</v>
      </c>
      <c r="D18" s="295">
        <f t="shared" si="6"/>
        <v>277.50296455</v>
      </c>
      <c r="E18" s="295">
        <f t="shared" si="6"/>
        <v>305.33758511024996</v>
      </c>
      <c r="F18" s="295">
        <f t="shared" si="6"/>
        <v>352.38896400082206</v>
      </c>
      <c r="G18" s="295">
        <f t="shared" si="6"/>
        <v>401.62995626910981</v>
      </c>
      <c r="H18" s="295">
        <f t="shared" si="6"/>
        <v>442.4926239917836</v>
      </c>
      <c r="I18" s="296">
        <f t="shared" si="6"/>
        <v>484.71173782852759</v>
      </c>
      <c r="J18" s="152"/>
      <c r="K18" s="152"/>
      <c r="L18" s="152"/>
      <c r="M18" s="152"/>
      <c r="N18" s="152"/>
      <c r="O18" s="152"/>
      <c r="P18" s="152"/>
      <c r="Q18" s="152"/>
      <c r="R18" s="152"/>
      <c r="S18" s="152"/>
    </row>
    <row r="19" spans="1:19" x14ac:dyDescent="0.2">
      <c r="A19" s="152"/>
      <c r="B19" s="273" t="s">
        <v>189</v>
      </c>
      <c r="C19" s="301">
        <f>C12</f>
        <v>345.9</v>
      </c>
      <c r="D19" s="274">
        <f>D12</f>
        <v>409.57422550000001</v>
      </c>
      <c r="E19" s="274">
        <f t="shared" ref="E19:I19" si="7">E12</f>
        <v>426.86614266749996</v>
      </c>
      <c r="F19" s="274">
        <f t="shared" si="7"/>
        <v>436.15922852754005</v>
      </c>
      <c r="G19" s="274">
        <f t="shared" si="7"/>
        <v>438.75541441163256</v>
      </c>
      <c r="H19" s="274">
        <f t="shared" si="7"/>
        <v>436.79529406914264</v>
      </c>
      <c r="I19" s="275">
        <f t="shared" si="7"/>
        <v>430.74255927989879</v>
      </c>
      <c r="J19" s="152"/>
      <c r="K19" s="152"/>
      <c r="L19" s="187" t="s">
        <v>55</v>
      </c>
      <c r="M19" s="187"/>
      <c r="N19" s="187"/>
      <c r="O19" s="187"/>
      <c r="P19" s="187"/>
      <c r="Q19" s="187"/>
      <c r="R19" s="187"/>
      <c r="S19" s="187"/>
    </row>
    <row r="20" spans="1:19" x14ac:dyDescent="0.2">
      <c r="A20" s="152"/>
      <c r="B20" s="267" t="s">
        <v>190</v>
      </c>
      <c r="C20" s="151">
        <f t="shared" ref="C20:I20" si="8">-M14</f>
        <v>-114.9</v>
      </c>
      <c r="D20" s="269">
        <f t="shared" si="8"/>
        <v>-155.16417000000004</v>
      </c>
      <c r="E20" s="269">
        <f t="shared" si="8"/>
        <v>-162.52471206000004</v>
      </c>
      <c r="F20" s="269">
        <f t="shared" si="8"/>
        <v>-169.35027430860004</v>
      </c>
      <c r="G20" s="269">
        <f t="shared" si="8"/>
        <v>-174.99860192160003</v>
      </c>
      <c r="H20" s="269">
        <f t="shared" si="8"/>
        <v>-179.88413374581705</v>
      </c>
      <c r="I20" s="268">
        <f t="shared" si="8"/>
        <v>-183.91952640218162</v>
      </c>
      <c r="J20" s="152"/>
      <c r="K20" s="152"/>
      <c r="L20" s="152"/>
      <c r="M20" s="43">
        <v>2023</v>
      </c>
      <c r="N20" s="151">
        <v>2024</v>
      </c>
      <c r="O20" s="151">
        <v>2025</v>
      </c>
      <c r="P20" s="151">
        <v>2026</v>
      </c>
      <c r="Q20" s="151">
        <v>2027</v>
      </c>
      <c r="R20" s="151">
        <v>2028</v>
      </c>
      <c r="S20" s="151">
        <v>2029</v>
      </c>
    </row>
    <row r="21" spans="1:19" x14ac:dyDescent="0.2">
      <c r="A21" s="152"/>
      <c r="B21" s="302" t="s">
        <v>191</v>
      </c>
      <c r="C21" s="303">
        <f t="shared" ref="C21:I21" si="9">-M24</f>
        <v>-90.1</v>
      </c>
      <c r="D21" s="304">
        <f t="shared" si="9"/>
        <v>-3.6633140000000424</v>
      </c>
      <c r="E21" s="304">
        <f t="shared" si="9"/>
        <v>-6.7429225499999745</v>
      </c>
      <c r="F21" s="304">
        <f t="shared" si="9"/>
        <v>-5.5623027005999859</v>
      </c>
      <c r="G21" s="304">
        <f t="shared" si="9"/>
        <v>-9.0171257715000479</v>
      </c>
      <c r="H21" s="304">
        <f t="shared" si="9"/>
        <v>-8.2256086417225447</v>
      </c>
      <c r="I21" s="305">
        <f t="shared" si="9"/>
        <v>-7.3147615390862484</v>
      </c>
      <c r="J21" s="152"/>
      <c r="K21" s="152"/>
      <c r="L21" s="161" t="s">
        <v>179</v>
      </c>
      <c r="M21" s="150">
        <v>4093.8</v>
      </c>
      <c r="N21" s="175">
        <v>4433.2620000000006</v>
      </c>
      <c r="O21" s="175">
        <v>4780.1385900000005</v>
      </c>
      <c r="P21" s="175">
        <v>5131.8264942000005</v>
      </c>
      <c r="Q21" s="175">
        <v>5468.7063100500009</v>
      </c>
      <c r="R21" s="175">
        <v>5802.7139918005505</v>
      </c>
      <c r="S21" s="176">
        <v>6130.6508800727206</v>
      </c>
    </row>
    <row r="22" spans="1:19" ht="16" thickBot="1" x14ac:dyDescent="0.25">
      <c r="A22" s="152"/>
      <c r="B22" s="297" t="s">
        <v>192</v>
      </c>
      <c r="C22" s="298"/>
      <c r="D22" s="299">
        <f t="shared" ref="D22:I22" si="10">D18+SUM(D19:D21)</f>
        <v>528.24970604999999</v>
      </c>
      <c r="E22" s="299">
        <f t="shared" si="10"/>
        <v>562.93609316774985</v>
      </c>
      <c r="F22" s="299">
        <f t="shared" si="10"/>
        <v>613.63561551916212</v>
      </c>
      <c r="G22" s="299">
        <f t="shared" si="10"/>
        <v>656.36964298764224</v>
      </c>
      <c r="H22" s="299">
        <f t="shared" si="10"/>
        <v>691.1781756733867</v>
      </c>
      <c r="I22" s="300">
        <f t="shared" si="10"/>
        <v>724.22000916715854</v>
      </c>
      <c r="J22" s="152"/>
      <c r="K22" s="152"/>
      <c r="L22" s="161" t="s">
        <v>55</v>
      </c>
      <c r="M22" s="150">
        <f>'Douglas''s History '!C66</f>
        <v>204.7</v>
      </c>
      <c r="N22" s="175">
        <f>N21*N23</f>
        <v>208.36331400000003</v>
      </c>
      <c r="O22" s="175">
        <f>O21*O23</f>
        <v>215.10623655000001</v>
      </c>
      <c r="P22" s="175">
        <f t="shared" ref="P22:S22" si="11">P21*P23</f>
        <v>220.66853925059999</v>
      </c>
      <c r="Q22" s="175">
        <f t="shared" si="11"/>
        <v>229.68566502210004</v>
      </c>
      <c r="R22" s="175">
        <f t="shared" si="11"/>
        <v>237.91127366382258</v>
      </c>
      <c r="S22" s="176">
        <f t="shared" si="11"/>
        <v>245.22603520290883</v>
      </c>
    </row>
    <row r="23" spans="1:19" x14ac:dyDescent="0.2">
      <c r="A23" s="152"/>
      <c r="J23" s="152"/>
      <c r="K23" s="152"/>
      <c r="L23" s="168" t="s">
        <v>193</v>
      </c>
      <c r="M23" s="159">
        <f>M22/M21</f>
        <v>5.0002442718256872E-2</v>
      </c>
      <c r="N23" s="159">
        <v>4.7E-2</v>
      </c>
      <c r="O23" s="159">
        <v>4.4999999999999998E-2</v>
      </c>
      <c r="P23" s="159">
        <v>4.2999999999999997E-2</v>
      </c>
      <c r="Q23" s="159">
        <v>4.2000000000000003E-2</v>
      </c>
      <c r="R23" s="159">
        <v>4.1000000000000002E-2</v>
      </c>
      <c r="S23" s="344">
        <v>0.04</v>
      </c>
    </row>
    <row r="24" spans="1:19" x14ac:dyDescent="0.2">
      <c r="A24" s="152"/>
      <c r="B24" s="152"/>
      <c r="C24" s="152"/>
      <c r="D24" s="152"/>
      <c r="E24" s="152"/>
      <c r="F24" s="152"/>
      <c r="G24" s="152"/>
      <c r="H24" s="152"/>
      <c r="I24" s="152"/>
      <c r="J24" s="152"/>
      <c r="L24" s="161" t="s">
        <v>194</v>
      </c>
      <c r="M24" s="150">
        <f>M22-'Douglas''s History '!D66</f>
        <v>90.1</v>
      </c>
      <c r="N24" s="175">
        <f>N22-M22</f>
        <v>3.6633140000000424</v>
      </c>
      <c r="O24" s="175">
        <f t="shared" ref="O24:S24" si="12">O22-N22</f>
        <v>6.7429225499999745</v>
      </c>
      <c r="P24" s="175">
        <f t="shared" si="12"/>
        <v>5.5623027005999859</v>
      </c>
      <c r="Q24" s="175">
        <f t="shared" si="12"/>
        <v>9.0171257715000479</v>
      </c>
      <c r="R24" s="175">
        <f t="shared" si="12"/>
        <v>8.2256086417225447</v>
      </c>
      <c r="S24" s="176">
        <f t="shared" si="12"/>
        <v>7.3147615390862484</v>
      </c>
    </row>
    <row r="25" spans="1:19" x14ac:dyDescent="0.2">
      <c r="A25" s="152"/>
      <c r="B25" s="362" t="s">
        <v>265</v>
      </c>
      <c r="C25" s="363">
        <f>'Beta &amp; WACC Estimation'!G58</f>
        <v>9.6340305163253481E-2</v>
      </c>
      <c r="D25" s="152"/>
      <c r="E25" s="152"/>
      <c r="F25" s="152"/>
      <c r="G25" s="152"/>
      <c r="H25" s="152"/>
      <c r="I25" s="152"/>
      <c r="J25" s="152"/>
      <c r="K25" s="152"/>
      <c r="L25" s="152"/>
      <c r="M25" s="152"/>
      <c r="N25" s="152"/>
      <c r="O25" s="152"/>
      <c r="P25" s="152"/>
      <c r="Q25" s="152"/>
      <c r="R25" s="152"/>
      <c r="S25" s="152"/>
    </row>
    <row r="26" spans="1:19" x14ac:dyDescent="0.2">
      <c r="A26" s="152"/>
      <c r="B26" s="308" t="s">
        <v>326</v>
      </c>
      <c r="C26" s="409">
        <v>0.02</v>
      </c>
      <c r="D26" s="152"/>
      <c r="E26" s="152"/>
      <c r="F26" s="152"/>
      <c r="G26" s="152"/>
      <c r="H26" s="152"/>
      <c r="I26" s="152"/>
      <c r="J26" s="152"/>
      <c r="K26" s="152"/>
    </row>
    <row r="27" spans="1:19" x14ac:dyDescent="0.2">
      <c r="A27" s="152"/>
      <c r="K27" s="152"/>
    </row>
    <row r="28" spans="1:19" x14ac:dyDescent="0.2">
      <c r="A28" s="152"/>
      <c r="B28" s="152" t="s">
        <v>321</v>
      </c>
      <c r="C28" s="152"/>
      <c r="D28" s="152"/>
      <c r="E28" s="152"/>
      <c r="F28" s="152"/>
      <c r="G28" s="152"/>
      <c r="H28" s="152"/>
      <c r="I28" s="152"/>
      <c r="J28" s="152"/>
    </row>
    <row r="29" spans="1:19" x14ac:dyDescent="0.2">
      <c r="A29" s="152"/>
      <c r="B29" s="152" t="s">
        <v>170</v>
      </c>
      <c r="C29" s="322">
        <f>I22*(1+C26)/(C25-C26)</f>
        <v>9676.466550281466</v>
      </c>
      <c r="D29" s="171"/>
      <c r="E29" s="152"/>
      <c r="F29" s="152"/>
      <c r="G29" s="152"/>
      <c r="H29" s="152"/>
      <c r="I29" s="152"/>
      <c r="J29" s="152"/>
    </row>
    <row r="30" spans="1:19" x14ac:dyDescent="0.2">
      <c r="A30" s="152"/>
      <c r="B30" s="152"/>
      <c r="C30" s="152"/>
      <c r="D30" s="171"/>
      <c r="E30" s="152"/>
      <c r="F30" s="152"/>
      <c r="G30" s="152"/>
      <c r="H30" s="152"/>
      <c r="I30" s="152"/>
      <c r="J30" s="152"/>
    </row>
    <row r="31" spans="1:19" x14ac:dyDescent="0.2">
      <c r="A31" s="152"/>
      <c r="B31" s="152"/>
      <c r="C31" s="152"/>
      <c r="D31" s="152"/>
      <c r="E31" s="152"/>
      <c r="F31" s="152"/>
      <c r="G31" s="152"/>
      <c r="H31" s="152"/>
      <c r="I31" s="152"/>
      <c r="J31" s="152"/>
      <c r="K31" s="152"/>
      <c r="L31" s="152"/>
      <c r="M31" s="152"/>
      <c r="N31" s="152"/>
      <c r="O31" s="152"/>
      <c r="P31" s="152"/>
      <c r="Q31" s="152"/>
      <c r="R31" s="152"/>
      <c r="S31" s="152"/>
    </row>
    <row r="32" spans="1:19" x14ac:dyDescent="0.2">
      <c r="A32" s="152"/>
      <c r="B32" s="152" t="s">
        <v>171</v>
      </c>
      <c r="C32" s="152"/>
      <c r="D32" s="152"/>
      <c r="E32" s="152"/>
      <c r="F32" s="152"/>
      <c r="G32" s="152"/>
      <c r="H32" s="152"/>
      <c r="I32" s="152"/>
      <c r="J32" s="152"/>
      <c r="K32" s="152"/>
      <c r="L32" s="152"/>
      <c r="M32" s="152"/>
      <c r="N32" s="152"/>
      <c r="O32" s="152"/>
      <c r="P32" s="152"/>
      <c r="Q32" s="152"/>
      <c r="R32" s="152"/>
      <c r="S32" s="152"/>
    </row>
    <row r="33" spans="1:19" x14ac:dyDescent="0.2">
      <c r="A33" s="152"/>
      <c r="B33" s="152" t="s">
        <v>172</v>
      </c>
      <c r="C33" s="170">
        <f>NPV('Douglas''s History '!C122,DCF!D22:I22)+DCF!C29/(1+C25)^6</f>
        <v>8324.6518410003646</v>
      </c>
      <c r="D33" s="189"/>
      <c r="E33" s="152"/>
      <c r="F33" s="152"/>
      <c r="G33" s="152"/>
      <c r="H33" s="152"/>
      <c r="I33" s="152"/>
      <c r="J33" s="152"/>
      <c r="K33" s="152"/>
      <c r="L33" s="152"/>
      <c r="M33" s="152"/>
      <c r="N33" s="152"/>
      <c r="O33" s="152"/>
      <c r="P33" s="152"/>
      <c r="Q33" s="152"/>
      <c r="R33" s="152"/>
      <c r="S33" s="152"/>
    </row>
    <row r="34" spans="1:19" x14ac:dyDescent="0.2">
      <c r="A34" s="152"/>
      <c r="B34" s="152"/>
      <c r="C34" s="152"/>
      <c r="D34" s="186"/>
      <c r="E34" s="152"/>
      <c r="F34" s="152"/>
      <c r="G34" s="152"/>
      <c r="H34" s="152"/>
      <c r="I34" s="152"/>
      <c r="J34" s="152"/>
      <c r="K34" s="152"/>
      <c r="L34" s="152"/>
      <c r="M34" s="152"/>
      <c r="N34" s="152"/>
      <c r="O34" s="152"/>
      <c r="P34" s="152"/>
      <c r="Q34" s="152"/>
      <c r="R34" s="152"/>
      <c r="S34" s="152"/>
    </row>
    <row r="35" spans="1:19" x14ac:dyDescent="0.2">
      <c r="A35" s="152"/>
      <c r="B35" s="152" t="s">
        <v>173</v>
      </c>
      <c r="C35" s="323" t="s">
        <v>174</v>
      </c>
      <c r="D35" s="152"/>
      <c r="E35" s="152"/>
      <c r="F35" s="152"/>
      <c r="G35" s="152"/>
      <c r="H35" s="152"/>
      <c r="I35" s="152"/>
      <c r="J35" s="152"/>
      <c r="K35" s="152"/>
      <c r="L35" s="489" t="s">
        <v>331</v>
      </c>
      <c r="M35" s="489"/>
      <c r="N35" s="489"/>
      <c r="O35" s="489"/>
      <c r="P35" s="489"/>
      <c r="Q35" s="489"/>
      <c r="R35" s="489"/>
      <c r="S35" s="489"/>
    </row>
    <row r="36" spans="1:19" x14ac:dyDescent="0.2">
      <c r="A36" s="152"/>
      <c r="B36" s="324" t="s">
        <v>175</v>
      </c>
      <c r="C36" s="325">
        <v>3423.6</v>
      </c>
      <c r="D36" s="152"/>
      <c r="E36" s="152"/>
      <c r="F36" s="152"/>
      <c r="G36" s="152"/>
      <c r="H36" s="152"/>
      <c r="I36" s="152"/>
      <c r="J36" s="152"/>
      <c r="K36" s="152"/>
      <c r="L36" s="489"/>
      <c r="M36" s="489"/>
      <c r="N36" s="489"/>
      <c r="O36" s="489"/>
      <c r="P36" s="489"/>
      <c r="Q36" s="489"/>
      <c r="R36" s="489"/>
      <c r="S36" s="489"/>
    </row>
    <row r="37" spans="1:19" x14ac:dyDescent="0.2">
      <c r="A37" s="152"/>
      <c r="B37" s="152" t="s">
        <v>176</v>
      </c>
      <c r="C37" s="235">
        <v>107.69</v>
      </c>
      <c r="D37" s="152"/>
      <c r="E37" s="186"/>
      <c r="G37" s="152"/>
      <c r="J37" s="152"/>
      <c r="K37" s="152"/>
      <c r="L37" s="152"/>
      <c r="M37" s="152"/>
      <c r="N37" s="152"/>
      <c r="O37" s="152"/>
      <c r="P37" s="152"/>
      <c r="Q37" s="152"/>
      <c r="R37" s="152"/>
      <c r="S37" s="152"/>
    </row>
    <row r="38" spans="1:19" x14ac:dyDescent="0.2">
      <c r="A38" s="152"/>
      <c r="B38" s="345" t="s">
        <v>177</v>
      </c>
      <c r="C38" s="346">
        <f>(C33-C36)/C37</f>
        <v>45.510742325196063</v>
      </c>
      <c r="D38" s="152"/>
      <c r="E38" s="152"/>
      <c r="F38" s="152"/>
      <c r="H38" s="152"/>
      <c r="I38" s="152"/>
      <c r="J38" s="152"/>
      <c r="K38" s="152"/>
      <c r="L38" s="374" t="s">
        <v>332</v>
      </c>
      <c r="M38" s="375" t="s">
        <v>97</v>
      </c>
      <c r="N38" s="375" t="s">
        <v>296</v>
      </c>
      <c r="O38" s="376" t="s">
        <v>298</v>
      </c>
      <c r="P38" s="375" t="s">
        <v>339</v>
      </c>
      <c r="Q38" s="375" t="s">
        <v>333</v>
      </c>
      <c r="R38" s="375" t="s">
        <v>334</v>
      </c>
      <c r="S38" s="377" t="s">
        <v>335</v>
      </c>
    </row>
    <row r="39" spans="1:19" x14ac:dyDescent="0.2">
      <c r="A39" s="152"/>
      <c r="B39" s="152"/>
      <c r="C39" s="152"/>
      <c r="D39" s="152"/>
      <c r="E39" s="152"/>
      <c r="F39" s="152"/>
      <c r="G39" s="152"/>
      <c r="H39" s="152"/>
      <c r="I39" s="152"/>
      <c r="J39" s="152"/>
      <c r="K39" s="152"/>
      <c r="L39" s="311" t="s">
        <v>336</v>
      </c>
      <c r="M39" s="367">
        <f>C25</f>
        <v>9.6340305163253481E-2</v>
      </c>
      <c r="N39" s="372">
        <v>1</v>
      </c>
      <c r="O39" s="369">
        <v>1.1499999999999999</v>
      </c>
      <c r="P39" s="370">
        <f>C29</f>
        <v>9676.466550281466</v>
      </c>
      <c r="Q39" s="370">
        <f>C33</f>
        <v>8324.6518410003646</v>
      </c>
      <c r="R39" s="370">
        <f>C38</f>
        <v>45.510742325196063</v>
      </c>
      <c r="S39" s="373" t="s">
        <v>344</v>
      </c>
    </row>
    <row r="40" spans="1:19" x14ac:dyDescent="0.2">
      <c r="A40" s="152"/>
      <c r="B40" s="152"/>
      <c r="C40" s="152"/>
      <c r="D40" s="152"/>
      <c r="E40" s="152"/>
      <c r="F40" s="152"/>
      <c r="G40" s="152"/>
      <c r="H40" s="152"/>
      <c r="I40" s="152"/>
      <c r="J40" s="152"/>
      <c r="K40" s="152"/>
      <c r="L40" s="311" t="s">
        <v>337</v>
      </c>
      <c r="M40" s="367">
        <f>C44</f>
        <v>0.11907728416325347</v>
      </c>
      <c r="N40" s="368">
        <f>'Beta &amp; WACC Estimation'!C59</f>
        <v>1.32</v>
      </c>
      <c r="O40" s="369">
        <v>1.52</v>
      </c>
      <c r="P40" s="370">
        <f>C45</f>
        <v>7455.8403128340688</v>
      </c>
      <c r="Q40" s="370">
        <f>C46</f>
        <v>6742.5306592133729</v>
      </c>
      <c r="R40" s="370">
        <f>C50</f>
        <v>30.819302249172374</v>
      </c>
      <c r="S40" s="371" t="s">
        <v>340</v>
      </c>
    </row>
    <row r="41" spans="1:19" x14ac:dyDescent="0.2">
      <c r="A41" s="152"/>
      <c r="B41" s="152"/>
      <c r="C41" s="152"/>
      <c r="D41" s="152"/>
      <c r="E41" s="152"/>
      <c r="F41" s="152"/>
      <c r="G41" s="152"/>
      <c r="H41" s="152"/>
      <c r="I41" s="152"/>
      <c r="J41" s="152"/>
      <c r="K41" s="152"/>
      <c r="L41" s="152"/>
      <c r="M41" s="152"/>
      <c r="N41" s="152"/>
      <c r="O41" s="152"/>
      <c r="P41" s="152"/>
      <c r="Q41" s="152"/>
      <c r="R41" s="152"/>
      <c r="S41" s="152"/>
    </row>
    <row r="42" spans="1:19" ht="20" customHeight="1" x14ac:dyDescent="0.2">
      <c r="A42" s="152"/>
      <c r="B42" t="s">
        <v>320</v>
      </c>
      <c r="J42" s="152"/>
      <c r="K42" s="152"/>
      <c r="L42" s="378" t="s">
        <v>336</v>
      </c>
      <c r="M42" s="152"/>
      <c r="N42" s="152"/>
      <c r="O42" s="152"/>
      <c r="P42" s="152"/>
      <c r="Q42" s="152"/>
      <c r="R42" s="152"/>
      <c r="S42" s="152"/>
    </row>
    <row r="43" spans="1:19" ht="16" customHeight="1" x14ac:dyDescent="0.2">
      <c r="A43" s="152"/>
      <c r="K43" s="152"/>
      <c r="L43" s="516" t="s">
        <v>346</v>
      </c>
      <c r="M43" s="517"/>
      <c r="N43" s="517"/>
      <c r="O43" s="517"/>
      <c r="P43" s="517"/>
      <c r="Q43" s="517"/>
      <c r="R43" s="517"/>
      <c r="S43" s="518"/>
    </row>
    <row r="44" spans="1:19" ht="15" customHeight="1" x14ac:dyDescent="0.2">
      <c r="A44" s="152"/>
      <c r="B44" s="308" t="s">
        <v>265</v>
      </c>
      <c r="C44" s="309">
        <f>'Beta &amp; WACC Estimation'!G59</f>
        <v>0.11907728416325347</v>
      </c>
      <c r="K44" s="152"/>
      <c r="L44" s="519"/>
      <c r="M44" s="426"/>
      <c r="N44" s="426"/>
      <c r="O44" s="426"/>
      <c r="P44" s="426"/>
      <c r="Q44" s="426"/>
      <c r="R44" s="426"/>
      <c r="S44" s="520"/>
    </row>
    <row r="45" spans="1:19" ht="20" customHeight="1" x14ac:dyDescent="0.2">
      <c r="B45" s="152" t="s">
        <v>170</v>
      </c>
      <c r="C45" s="322">
        <f>I22*(1+C26)/(C44-C26)</f>
        <v>7455.8403128340688</v>
      </c>
      <c r="D45" s="152"/>
      <c r="E45" s="152"/>
      <c r="F45" s="152"/>
      <c r="G45" s="152"/>
      <c r="H45" s="152"/>
      <c r="I45" s="152"/>
      <c r="J45" s="152"/>
      <c r="K45" s="152"/>
      <c r="L45" s="519"/>
      <c r="M45" s="426"/>
      <c r="N45" s="426"/>
      <c r="O45" s="426"/>
      <c r="P45" s="426"/>
      <c r="Q45" s="426"/>
      <c r="R45" s="426"/>
      <c r="S45" s="520"/>
    </row>
    <row r="46" spans="1:19" ht="21" customHeight="1" x14ac:dyDescent="0.2">
      <c r="B46" s="152" t="s">
        <v>172</v>
      </c>
      <c r="C46" s="170">
        <f>NPV('Douglas''s History '!C135,DCF!D22:I22)+DCF!C45/(1+C44)^6</f>
        <v>6742.5306592133729</v>
      </c>
      <c r="D46" s="152"/>
      <c r="E46" s="152"/>
      <c r="F46" s="152"/>
      <c r="G46" s="152"/>
      <c r="H46" s="152"/>
      <c r="I46" s="152"/>
      <c r="J46" s="152"/>
      <c r="K46" s="152"/>
      <c r="L46" s="519"/>
      <c r="M46" s="426"/>
      <c r="N46" s="426"/>
      <c r="O46" s="426"/>
      <c r="P46" s="426"/>
      <c r="Q46" s="426"/>
      <c r="R46" s="426"/>
      <c r="S46" s="520"/>
    </row>
    <row r="47" spans="1:19" ht="17" customHeight="1" x14ac:dyDescent="0.2">
      <c r="B47" s="152"/>
      <c r="C47" s="152"/>
      <c r="D47" s="152"/>
      <c r="E47" s="152"/>
      <c r="F47" s="152"/>
      <c r="G47" s="152"/>
      <c r="H47" s="152"/>
      <c r="I47" s="152"/>
      <c r="J47" s="152"/>
      <c r="K47" s="152"/>
      <c r="L47" s="521"/>
      <c r="M47" s="522"/>
      <c r="N47" s="522"/>
      <c r="O47" s="522"/>
      <c r="P47" s="522"/>
      <c r="Q47" s="522"/>
      <c r="R47" s="522"/>
      <c r="S47" s="523"/>
    </row>
    <row r="48" spans="1:19" ht="14" customHeight="1" x14ac:dyDescent="0.2">
      <c r="B48" s="324" t="s">
        <v>175</v>
      </c>
      <c r="C48" s="325">
        <v>3423.6</v>
      </c>
      <c r="D48" s="152"/>
      <c r="E48" s="152"/>
      <c r="F48" s="152"/>
      <c r="G48" s="152"/>
      <c r="H48" s="152"/>
      <c r="I48" s="152"/>
      <c r="J48" s="152"/>
      <c r="K48" s="152"/>
      <c r="L48" s="152"/>
      <c r="M48" s="152"/>
      <c r="N48" s="152"/>
      <c r="O48" s="152"/>
      <c r="P48" s="152"/>
      <c r="Q48" s="152"/>
      <c r="R48" s="152"/>
      <c r="S48" s="152"/>
    </row>
    <row r="49" spans="2:19" ht="18" customHeight="1" x14ac:dyDescent="0.2">
      <c r="B49" s="152" t="s">
        <v>176</v>
      </c>
      <c r="C49" s="235">
        <v>107.69</v>
      </c>
      <c r="D49" s="152"/>
      <c r="E49" s="152"/>
      <c r="F49" s="152"/>
      <c r="G49" s="152"/>
      <c r="H49" s="152"/>
      <c r="I49" s="152"/>
      <c r="J49" s="152"/>
      <c r="K49" s="152"/>
      <c r="L49" s="378" t="s">
        <v>337</v>
      </c>
      <c r="M49" s="152"/>
      <c r="N49" s="152"/>
      <c r="O49" s="152"/>
      <c r="P49" s="152"/>
      <c r="Q49" s="152"/>
      <c r="R49" s="152"/>
      <c r="S49" s="152"/>
    </row>
    <row r="50" spans="2:19" x14ac:dyDescent="0.2">
      <c r="B50" s="347" t="s">
        <v>177</v>
      </c>
      <c r="C50" s="348">
        <f>(C46-C48)/C49</f>
        <v>30.819302249172374</v>
      </c>
      <c r="L50" s="516" t="s">
        <v>345</v>
      </c>
      <c r="M50" s="517"/>
      <c r="N50" s="517"/>
      <c r="O50" s="517"/>
      <c r="P50" s="517"/>
      <c r="Q50" s="517"/>
      <c r="R50" s="517"/>
      <c r="S50" s="518"/>
    </row>
    <row r="51" spans="2:19" x14ac:dyDescent="0.2">
      <c r="L51" s="519"/>
      <c r="M51" s="426"/>
      <c r="N51" s="426"/>
      <c r="O51" s="426"/>
      <c r="P51" s="426"/>
      <c r="Q51" s="426"/>
      <c r="R51" s="426"/>
      <c r="S51" s="520"/>
    </row>
    <row r="52" spans="2:19" x14ac:dyDescent="0.2">
      <c r="L52" s="519"/>
      <c r="M52" s="426"/>
      <c r="N52" s="426"/>
      <c r="O52" s="426"/>
      <c r="P52" s="426"/>
      <c r="Q52" s="426"/>
      <c r="R52" s="426"/>
      <c r="S52" s="520"/>
    </row>
    <row r="53" spans="2:19" x14ac:dyDescent="0.2">
      <c r="L53" s="519"/>
      <c r="M53" s="426"/>
      <c r="N53" s="426"/>
      <c r="O53" s="426"/>
      <c r="P53" s="426"/>
      <c r="Q53" s="426"/>
      <c r="R53" s="426"/>
      <c r="S53" s="520"/>
    </row>
    <row r="54" spans="2:19" x14ac:dyDescent="0.2">
      <c r="L54" s="519"/>
      <c r="M54" s="426"/>
      <c r="N54" s="426"/>
      <c r="O54" s="426"/>
      <c r="P54" s="426"/>
      <c r="Q54" s="426"/>
      <c r="R54" s="426"/>
      <c r="S54" s="520"/>
    </row>
    <row r="55" spans="2:19" x14ac:dyDescent="0.2">
      <c r="L55" s="521"/>
      <c r="M55" s="522"/>
      <c r="N55" s="522"/>
      <c r="O55" s="522"/>
      <c r="P55" s="522"/>
      <c r="Q55" s="522"/>
      <c r="R55" s="522"/>
      <c r="S55" s="523"/>
    </row>
  </sheetData>
  <mergeCells count="4">
    <mergeCell ref="B2:I4"/>
    <mergeCell ref="L35:S36"/>
    <mergeCell ref="L43:S47"/>
    <mergeCell ref="L50:S5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4E075-F9B0-ED46-9C7F-61911E32096C}">
  <dimension ref="B2:S78"/>
  <sheetViews>
    <sheetView zoomScale="85" zoomScaleNormal="85" workbookViewId="0">
      <selection activeCell="B2" sqref="B2:I4"/>
    </sheetView>
  </sheetViews>
  <sheetFormatPr baseColWidth="10" defaultColWidth="11.5" defaultRowHeight="15" x14ac:dyDescent="0.2"/>
  <cols>
    <col min="1" max="1" width="11.5" bestFit="1" customWidth="1"/>
    <col min="2" max="2" width="60.1640625" customWidth="1"/>
    <col min="3" max="3" width="18.1640625" customWidth="1"/>
    <col min="4" max="4" width="21.6640625" customWidth="1"/>
    <col min="5" max="5" width="21.83203125" customWidth="1"/>
    <col min="6" max="6" width="21.6640625" customWidth="1"/>
    <col min="7" max="7" width="21.83203125" customWidth="1"/>
    <col min="8" max="8" width="22.6640625" customWidth="1"/>
    <col min="9" max="9" width="21.6640625" customWidth="1"/>
    <col min="12" max="12" width="17.6640625" customWidth="1"/>
    <col min="15" max="15" width="11.83203125" customWidth="1"/>
    <col min="17" max="17" width="18.6640625" customWidth="1"/>
    <col min="19" max="19" width="20" customWidth="1"/>
  </cols>
  <sheetData>
    <row r="2" spans="2:19" x14ac:dyDescent="0.2">
      <c r="B2" s="542" t="s">
        <v>385</v>
      </c>
      <c r="C2" s="542"/>
      <c r="D2" s="542"/>
      <c r="E2" s="542"/>
      <c r="F2" s="542"/>
      <c r="G2" s="542"/>
      <c r="H2" s="542"/>
      <c r="I2" s="542"/>
      <c r="J2" s="152"/>
    </row>
    <row r="3" spans="2:19" x14ac:dyDescent="0.2">
      <c r="B3" s="542"/>
      <c r="C3" s="542"/>
      <c r="D3" s="542"/>
      <c r="E3" s="542"/>
      <c r="F3" s="542"/>
      <c r="G3" s="542"/>
      <c r="H3" s="542"/>
      <c r="I3" s="542"/>
      <c r="J3" s="152"/>
    </row>
    <row r="4" spans="2:19" x14ac:dyDescent="0.2">
      <c r="B4" s="542"/>
      <c r="C4" s="542"/>
      <c r="D4" s="542"/>
      <c r="E4" s="542"/>
      <c r="F4" s="542"/>
      <c r="G4" s="542"/>
      <c r="H4" s="542"/>
      <c r="I4" s="542"/>
      <c r="J4" s="153"/>
      <c r="K4" s="149"/>
    </row>
    <row r="5" spans="2:19" x14ac:dyDescent="0.2">
      <c r="B5" s="152"/>
      <c r="C5" s="152"/>
      <c r="D5" s="152"/>
      <c r="E5" s="152"/>
    </row>
    <row r="6" spans="2:19" ht="16" x14ac:dyDescent="0.2">
      <c r="B6" s="321" t="s">
        <v>272</v>
      </c>
      <c r="C6" s="152"/>
      <c r="D6" s="152"/>
      <c r="E6" s="152"/>
    </row>
    <row r="7" spans="2:19" x14ac:dyDescent="0.2">
      <c r="B7" s="152"/>
      <c r="C7" s="152"/>
      <c r="D7" s="152"/>
      <c r="E7" s="152"/>
    </row>
    <row r="8" spans="2:19" ht="16" x14ac:dyDescent="0.2">
      <c r="B8" s="321" t="s">
        <v>327</v>
      </c>
      <c r="C8" s="152"/>
      <c r="D8" s="152"/>
      <c r="E8" s="152"/>
      <c r="J8" s="152"/>
    </row>
    <row r="10" spans="2:19" x14ac:dyDescent="0.2">
      <c r="B10" s="101" t="s">
        <v>255</v>
      </c>
      <c r="C10" s="43">
        <v>2023</v>
      </c>
      <c r="D10" s="151">
        <v>2024</v>
      </c>
      <c r="E10" s="151">
        <v>2025</v>
      </c>
      <c r="F10" s="151">
        <v>2026</v>
      </c>
      <c r="G10" s="151">
        <v>2027</v>
      </c>
      <c r="H10" s="151">
        <v>2028</v>
      </c>
      <c r="I10" s="151">
        <v>2029</v>
      </c>
      <c r="J10" s="152"/>
    </row>
    <row r="11" spans="2:19" x14ac:dyDescent="0.2">
      <c r="B11" s="405" t="s">
        <v>179</v>
      </c>
      <c r="C11" s="406">
        <f>DCF!C8</f>
        <v>4093.9</v>
      </c>
      <c r="D11" s="407">
        <f>C11*(1+D12)</f>
        <v>4298.5950000000003</v>
      </c>
      <c r="E11" s="407">
        <f>D11*(1+E12)</f>
        <v>4513.5247500000005</v>
      </c>
      <c r="F11" s="407">
        <f>E11*(1+F12)</f>
        <v>4739.2009875000003</v>
      </c>
      <c r="G11" s="407">
        <f t="shared" ref="G11:I11" si="0">F11*(1+G12)</f>
        <v>4976.1610368750007</v>
      </c>
      <c r="H11" s="407">
        <f>G11*(1+H12)</f>
        <v>5224.9690887187508</v>
      </c>
      <c r="I11" s="408">
        <f t="shared" si="0"/>
        <v>5486.2175431546884</v>
      </c>
      <c r="J11" s="152"/>
      <c r="K11" s="152"/>
      <c r="L11" s="152"/>
      <c r="M11" s="152"/>
      <c r="N11" s="152"/>
      <c r="O11" s="152"/>
      <c r="P11" s="152"/>
      <c r="Q11" s="152"/>
      <c r="R11" s="152"/>
      <c r="S11" s="152"/>
    </row>
    <row r="12" spans="2:19" x14ac:dyDescent="0.2">
      <c r="B12" s="285" t="s">
        <v>197</v>
      </c>
      <c r="C12" s="286"/>
      <c r="D12" s="287">
        <v>0.05</v>
      </c>
      <c r="E12" s="287">
        <v>0.05</v>
      </c>
      <c r="F12" s="287">
        <v>0.05</v>
      </c>
      <c r="G12" s="287">
        <v>0.05</v>
      </c>
      <c r="H12" s="287">
        <v>0.05</v>
      </c>
      <c r="I12" s="354">
        <v>0.05</v>
      </c>
      <c r="J12" s="152"/>
      <c r="K12" s="152"/>
      <c r="L12" s="187" t="s">
        <v>178</v>
      </c>
      <c r="M12" s="187"/>
      <c r="N12" s="156"/>
      <c r="O12" s="156"/>
      <c r="P12" s="156"/>
      <c r="Q12" s="156"/>
      <c r="R12" s="156"/>
      <c r="S12" s="156"/>
    </row>
    <row r="13" spans="2:19" x14ac:dyDescent="0.2">
      <c r="B13" s="280" t="s">
        <v>166</v>
      </c>
      <c r="C13" s="281"/>
      <c r="D13" s="282">
        <f t="shared" ref="D13:I13" si="1">D11*D14</f>
        <v>790.94148000000007</v>
      </c>
      <c r="E13" s="282">
        <f t="shared" si="1"/>
        <v>835.00207875000012</v>
      </c>
      <c r="F13" s="282">
        <f t="shared" si="1"/>
        <v>900.44818762500006</v>
      </c>
      <c r="G13" s="282">
        <f t="shared" si="1"/>
        <v>970.35140219062521</v>
      </c>
      <c r="H13" s="282">
        <f t="shared" si="1"/>
        <v>1029.318910477594</v>
      </c>
      <c r="I13" s="283">
        <f t="shared" si="1"/>
        <v>1097.2435086309376</v>
      </c>
      <c r="J13" s="152"/>
      <c r="L13" s="402" t="s">
        <v>179</v>
      </c>
      <c r="M13" s="403">
        <f>(I11/C11)^(1/6)-1</f>
        <v>5.0000000000000044E-2</v>
      </c>
      <c r="N13" s="188" t="s">
        <v>180</v>
      </c>
      <c r="O13" s="156" t="s">
        <v>181</v>
      </c>
      <c r="P13" s="152"/>
      <c r="Q13" s="152"/>
      <c r="R13" s="152"/>
      <c r="S13" s="152"/>
    </row>
    <row r="14" spans="2:19" ht="16" customHeight="1" x14ac:dyDescent="0.2">
      <c r="B14" s="276" t="s">
        <v>167</v>
      </c>
      <c r="C14" s="270"/>
      <c r="D14" s="271">
        <v>0.184</v>
      </c>
      <c r="E14" s="271">
        <v>0.185</v>
      </c>
      <c r="F14" s="271">
        <v>0.19</v>
      </c>
      <c r="G14" s="271">
        <v>0.19500000000000001</v>
      </c>
      <c r="H14" s="271">
        <v>0.19700000000000001</v>
      </c>
      <c r="I14" s="277">
        <v>0.2</v>
      </c>
      <c r="J14" s="152"/>
      <c r="L14" s="101"/>
      <c r="M14" s="404"/>
      <c r="N14" s="152"/>
      <c r="O14" s="152"/>
      <c r="P14" s="152"/>
      <c r="Q14" s="152"/>
      <c r="R14" s="152"/>
      <c r="S14" s="152"/>
    </row>
    <row r="15" spans="2:19" ht="18" customHeight="1" x14ac:dyDescent="0.2">
      <c r="B15" s="267" t="s">
        <v>168</v>
      </c>
      <c r="C15" s="151"/>
      <c r="D15" s="269">
        <f>D16*D11</f>
        <v>401.9186325</v>
      </c>
      <c r="E15" s="269">
        <f>E16*E11</f>
        <v>412.98751462500002</v>
      </c>
      <c r="F15" s="269">
        <f t="shared" ref="F15:G15" si="2">F16*F11</f>
        <v>417.99752709750004</v>
      </c>
      <c r="G15" s="269">
        <f t="shared" si="2"/>
        <v>420.48560761593757</v>
      </c>
      <c r="H15" s="269">
        <f>H16*H11</f>
        <v>420.61001164185944</v>
      </c>
      <c r="I15" s="268">
        <f>I16*I11</f>
        <v>420.79288555996465</v>
      </c>
      <c r="J15" s="152"/>
      <c r="P15" s="152"/>
      <c r="Q15" s="152"/>
      <c r="R15" s="152"/>
      <c r="S15" s="152"/>
    </row>
    <row r="16" spans="2:19" x14ac:dyDescent="0.2">
      <c r="B16" s="278" t="s">
        <v>183</v>
      </c>
      <c r="C16" s="279"/>
      <c r="D16" s="279">
        <v>9.35E-2</v>
      </c>
      <c r="E16" s="279">
        <v>9.1499999999999998E-2</v>
      </c>
      <c r="F16" s="279">
        <v>8.8200000000000001E-2</v>
      </c>
      <c r="G16" s="279">
        <v>8.4500000000000006E-2</v>
      </c>
      <c r="H16" s="279">
        <v>8.0500000000000002E-2</v>
      </c>
      <c r="I16" s="284">
        <v>7.6700000000000004E-2</v>
      </c>
      <c r="J16" s="152"/>
      <c r="K16" s="152"/>
      <c r="L16" s="152"/>
      <c r="M16" s="152"/>
      <c r="N16" s="152"/>
      <c r="O16" s="152"/>
      <c r="P16" s="152"/>
      <c r="Q16" s="152"/>
      <c r="R16" s="152"/>
      <c r="S16" s="152"/>
    </row>
    <row r="17" spans="2:19" x14ac:dyDescent="0.2">
      <c r="B17" s="280" t="s">
        <v>169</v>
      </c>
      <c r="C17" s="289"/>
      <c r="D17" s="289">
        <f>D11*D18</f>
        <v>389.02284750000001</v>
      </c>
      <c r="E17" s="289">
        <f>E11*E18</f>
        <v>422.01456412500005</v>
      </c>
      <c r="F17" s="289">
        <f t="shared" ref="F17" si="3">F11*F18</f>
        <v>482.45066052750002</v>
      </c>
      <c r="G17" s="289">
        <f>G13-G15</f>
        <v>549.8657945746877</v>
      </c>
      <c r="H17" s="289">
        <f>H13-H15</f>
        <v>608.70889883573454</v>
      </c>
      <c r="I17" s="290">
        <f>I13-I15</f>
        <v>676.45062307097305</v>
      </c>
      <c r="J17" s="152"/>
      <c r="K17" s="152"/>
      <c r="L17" s="152"/>
      <c r="M17" s="152"/>
      <c r="N17" s="152"/>
      <c r="O17" s="152"/>
      <c r="P17" s="152"/>
      <c r="Q17" s="152"/>
      <c r="R17" s="152"/>
      <c r="S17" s="152"/>
    </row>
    <row r="18" spans="2:19" x14ac:dyDescent="0.2">
      <c r="B18" s="276" t="s">
        <v>185</v>
      </c>
      <c r="C18" s="270"/>
      <c r="D18" s="270">
        <v>9.0499999999999997E-2</v>
      </c>
      <c r="E18" s="270">
        <v>9.35E-2</v>
      </c>
      <c r="F18" s="270">
        <v>0.1018</v>
      </c>
      <c r="G18" s="270">
        <v>0.1105</v>
      </c>
      <c r="H18" s="270">
        <v>0.11650000000000001</v>
      </c>
      <c r="I18" s="291">
        <v>0.12330000000000001</v>
      </c>
      <c r="J18" s="152"/>
      <c r="K18" s="152"/>
      <c r="L18" s="152"/>
      <c r="M18" s="152"/>
      <c r="N18" s="152"/>
      <c r="O18" s="152"/>
      <c r="P18" s="152"/>
      <c r="Q18" s="152"/>
      <c r="R18" s="152"/>
      <c r="S18" s="152"/>
    </row>
    <row r="19" spans="2:19" x14ac:dyDescent="0.2">
      <c r="B19" s="267" t="s">
        <v>186</v>
      </c>
      <c r="C19" s="272"/>
      <c r="D19" s="272">
        <v>0.3</v>
      </c>
      <c r="E19" s="272">
        <v>0.3</v>
      </c>
      <c r="F19" s="272">
        <v>0.3</v>
      </c>
      <c r="G19" s="272">
        <v>0.3</v>
      </c>
      <c r="H19" s="272">
        <v>0.3</v>
      </c>
      <c r="I19" s="292">
        <v>0.3</v>
      </c>
      <c r="J19" s="152"/>
      <c r="K19" s="152"/>
      <c r="L19" s="187" t="s">
        <v>182</v>
      </c>
      <c r="M19" s="187"/>
      <c r="N19" s="187"/>
      <c r="O19" s="187"/>
      <c r="P19" s="187"/>
      <c r="Q19" s="187"/>
      <c r="R19" s="187"/>
      <c r="S19" s="187"/>
    </row>
    <row r="20" spans="2:19" x14ac:dyDescent="0.2">
      <c r="B20" s="267" t="s">
        <v>187</v>
      </c>
      <c r="C20" s="155"/>
      <c r="D20" s="155">
        <f>D19*D17</f>
        <v>116.70685424999999</v>
      </c>
      <c r="E20" s="155">
        <f t="shared" ref="E20" si="4">E19*E17</f>
        <v>126.60436923750001</v>
      </c>
      <c r="F20" s="155">
        <f>F19*F17</f>
        <v>144.73519815825</v>
      </c>
      <c r="G20" s="155">
        <f>G19*G17</f>
        <v>164.95973837240629</v>
      </c>
      <c r="H20" s="155">
        <f>H19*H17</f>
        <v>182.61266965072036</v>
      </c>
      <c r="I20" s="293">
        <f>I19*I17</f>
        <v>202.93518692129192</v>
      </c>
      <c r="J20" s="152"/>
      <c r="K20" s="152"/>
      <c r="L20" s="101"/>
      <c r="M20" s="43">
        <v>2023</v>
      </c>
      <c r="N20" s="180">
        <v>2024</v>
      </c>
      <c r="O20" s="180">
        <v>2025</v>
      </c>
      <c r="P20" s="180">
        <v>2026</v>
      </c>
      <c r="Q20" s="151">
        <v>2027</v>
      </c>
      <c r="R20" s="151">
        <v>2028</v>
      </c>
      <c r="S20" s="151">
        <v>2029</v>
      </c>
    </row>
    <row r="21" spans="2:19" x14ac:dyDescent="0.2">
      <c r="B21" s="294" t="s">
        <v>188</v>
      </c>
      <c r="C21" s="295"/>
      <c r="D21" s="295">
        <f t="shared" ref="D21:I21" si="5">D17-D20</f>
        <v>272.31599325000002</v>
      </c>
      <c r="E21" s="295">
        <f t="shared" si="5"/>
        <v>295.41019488750004</v>
      </c>
      <c r="F21" s="295">
        <f t="shared" si="5"/>
        <v>337.71546236925002</v>
      </c>
      <c r="G21" s="295">
        <f t="shared" si="5"/>
        <v>384.90605620228143</v>
      </c>
      <c r="H21" s="295">
        <f t="shared" si="5"/>
        <v>426.09622918501418</v>
      </c>
      <c r="I21" s="296">
        <f t="shared" si="5"/>
        <v>473.51543614968114</v>
      </c>
      <c r="J21" s="152"/>
      <c r="K21" s="152"/>
      <c r="L21" s="161" t="s">
        <v>179</v>
      </c>
      <c r="M21" s="150">
        <v>4093.8</v>
      </c>
      <c r="N21" s="175">
        <v>4433.2620000000006</v>
      </c>
      <c r="O21" s="175">
        <v>4780.1385900000005</v>
      </c>
      <c r="P21" s="175">
        <v>5131.8264942000005</v>
      </c>
      <c r="Q21" s="175">
        <v>5468.7063100500009</v>
      </c>
      <c r="R21" s="175">
        <v>5802.7139918005505</v>
      </c>
      <c r="S21" s="176">
        <v>6130.6508800727206</v>
      </c>
    </row>
    <row r="22" spans="2:19" x14ac:dyDescent="0.2">
      <c r="B22" s="273" t="s">
        <v>189</v>
      </c>
      <c r="C22" s="301"/>
      <c r="D22" s="274">
        <f>D15</f>
        <v>401.9186325</v>
      </c>
      <c r="E22" s="274">
        <f t="shared" ref="E22:I22" si="6">E15</f>
        <v>412.98751462500002</v>
      </c>
      <c r="F22" s="274">
        <f t="shared" si="6"/>
        <v>417.99752709750004</v>
      </c>
      <c r="G22" s="274">
        <f t="shared" si="6"/>
        <v>420.48560761593757</v>
      </c>
      <c r="H22" s="274">
        <f t="shared" si="6"/>
        <v>420.61001164185944</v>
      </c>
      <c r="I22" s="275">
        <f t="shared" si="6"/>
        <v>420.79288555996465</v>
      </c>
      <c r="J22" s="152"/>
      <c r="K22" s="152"/>
      <c r="L22" s="161" t="s">
        <v>182</v>
      </c>
      <c r="M22" s="150">
        <f>DCF!M14</f>
        <v>114.9</v>
      </c>
      <c r="N22" s="169">
        <f>N21*N23</f>
        <v>155.16417000000004</v>
      </c>
      <c r="O22" s="169">
        <f t="shared" ref="O22:R22" si="7">O21*O23</f>
        <v>162.52471206000004</v>
      </c>
      <c r="P22" s="169">
        <f t="shared" si="7"/>
        <v>169.35027430860004</v>
      </c>
      <c r="Q22" s="169">
        <f t="shared" si="7"/>
        <v>174.99860192160003</v>
      </c>
      <c r="R22" s="169">
        <f t="shared" si="7"/>
        <v>179.88413374581705</v>
      </c>
      <c r="S22" s="169">
        <f>S21*S23</f>
        <v>183.91952640218162</v>
      </c>
    </row>
    <row r="23" spans="2:19" x14ac:dyDescent="0.2">
      <c r="B23" s="267" t="s">
        <v>190</v>
      </c>
      <c r="C23" s="151"/>
      <c r="D23" s="269">
        <f t="shared" ref="D23:I23" si="8">-N22</f>
        <v>-155.16417000000004</v>
      </c>
      <c r="E23" s="269">
        <f t="shared" si="8"/>
        <v>-162.52471206000004</v>
      </c>
      <c r="F23" s="269">
        <f t="shared" si="8"/>
        <v>-169.35027430860004</v>
      </c>
      <c r="G23" s="269">
        <f t="shared" si="8"/>
        <v>-174.99860192160003</v>
      </c>
      <c r="H23" s="269">
        <f t="shared" si="8"/>
        <v>-179.88413374581705</v>
      </c>
      <c r="I23" s="268">
        <f t="shared" si="8"/>
        <v>-183.91952640218162</v>
      </c>
      <c r="J23" s="152"/>
      <c r="K23" s="152"/>
      <c r="L23" s="168" t="s">
        <v>184</v>
      </c>
      <c r="M23" s="160">
        <f>M22/M21</f>
        <v>2.8066832771508135E-2</v>
      </c>
      <c r="N23" s="159">
        <v>3.5000000000000003E-2</v>
      </c>
      <c r="O23" s="159">
        <v>3.4000000000000002E-2</v>
      </c>
      <c r="P23" s="159">
        <v>3.3000000000000002E-2</v>
      </c>
      <c r="Q23" s="159">
        <v>3.2000000000000001E-2</v>
      </c>
      <c r="R23" s="159">
        <v>3.1E-2</v>
      </c>
      <c r="S23" s="159">
        <v>0.03</v>
      </c>
    </row>
    <row r="24" spans="2:19" x14ac:dyDescent="0.2">
      <c r="B24" s="302" t="s">
        <v>191</v>
      </c>
      <c r="C24" s="303"/>
      <c r="D24" s="304">
        <f t="shared" ref="D24:I24" si="9">-N32</f>
        <v>-3.6633140000000424</v>
      </c>
      <c r="E24" s="304">
        <f t="shared" si="9"/>
        <v>-6.7429225499999745</v>
      </c>
      <c r="F24" s="304">
        <f t="shared" si="9"/>
        <v>-5.5623027005999859</v>
      </c>
      <c r="G24" s="304">
        <f t="shared" si="9"/>
        <v>-9.0171257715000479</v>
      </c>
      <c r="H24" s="304">
        <f t="shared" si="9"/>
        <v>-8.2256086417225447</v>
      </c>
      <c r="I24" s="305">
        <f t="shared" si="9"/>
        <v>-7.3147615390862484</v>
      </c>
      <c r="J24" s="152"/>
      <c r="K24" s="152"/>
      <c r="L24" s="152"/>
      <c r="M24" s="152"/>
      <c r="N24" s="152"/>
      <c r="O24" s="152"/>
      <c r="P24" s="152"/>
      <c r="Q24" s="152"/>
      <c r="R24" s="152"/>
      <c r="S24" s="152"/>
    </row>
    <row r="25" spans="2:19" ht="16" thickBot="1" x14ac:dyDescent="0.25">
      <c r="B25" s="297" t="s">
        <v>192</v>
      </c>
      <c r="C25" s="298"/>
      <c r="D25" s="299">
        <f t="shared" ref="D25:I25" si="10">D21+SUM(D22:D24)</f>
        <v>515.40714174999994</v>
      </c>
      <c r="E25" s="299">
        <f t="shared" si="10"/>
        <v>539.13007490250004</v>
      </c>
      <c r="F25" s="299">
        <f t="shared" si="10"/>
        <v>580.80041245755001</v>
      </c>
      <c r="G25" s="299">
        <f t="shared" si="10"/>
        <v>621.37593612511887</v>
      </c>
      <c r="H25" s="299">
        <f t="shared" si="10"/>
        <v>658.59649843933403</v>
      </c>
      <c r="I25" s="300">
        <f t="shared" si="10"/>
        <v>703.07403376837794</v>
      </c>
      <c r="J25" s="152"/>
      <c r="K25" s="152"/>
      <c r="L25" s="152"/>
      <c r="M25" s="152"/>
      <c r="N25" s="152"/>
      <c r="O25" s="152"/>
      <c r="P25" s="152"/>
      <c r="Q25" s="152"/>
      <c r="R25" s="152"/>
      <c r="S25" s="152"/>
    </row>
    <row r="26" spans="2:19" x14ac:dyDescent="0.2">
      <c r="J26" s="152"/>
      <c r="K26" s="152"/>
      <c r="L26" s="152"/>
      <c r="M26" s="152"/>
      <c r="N26" s="152"/>
      <c r="O26" s="152"/>
      <c r="P26" s="152"/>
      <c r="Q26" s="152"/>
      <c r="R26" s="152"/>
      <c r="S26" s="152"/>
    </row>
    <row r="27" spans="2:19" x14ac:dyDescent="0.2">
      <c r="J27" s="152"/>
      <c r="K27" s="152"/>
      <c r="L27" s="187" t="s">
        <v>55</v>
      </c>
      <c r="M27" s="187"/>
      <c r="N27" s="187"/>
      <c r="O27" s="187"/>
      <c r="P27" s="187"/>
      <c r="Q27" s="187"/>
      <c r="R27" s="187"/>
      <c r="S27" s="187"/>
    </row>
    <row r="28" spans="2:19" x14ac:dyDescent="0.2">
      <c r="B28" s="308" t="s">
        <v>265</v>
      </c>
      <c r="C28" s="309">
        <f>'Beta &amp; WACC Estimation'!G59</f>
        <v>0.11907728416325347</v>
      </c>
      <c r="D28" s="152"/>
      <c r="E28" s="152"/>
      <c r="J28" s="152"/>
      <c r="K28" s="152"/>
      <c r="L28" s="152"/>
      <c r="M28" s="43">
        <v>2023</v>
      </c>
      <c r="N28" s="180">
        <v>2024</v>
      </c>
      <c r="O28" s="180">
        <v>2025</v>
      </c>
      <c r="P28" s="180">
        <v>2026</v>
      </c>
      <c r="Q28" s="151">
        <v>2027</v>
      </c>
      <c r="R28" s="151">
        <v>2028</v>
      </c>
      <c r="S28" s="151">
        <v>2029</v>
      </c>
    </row>
    <row r="29" spans="2:19" x14ac:dyDescent="0.2">
      <c r="B29" s="156"/>
      <c r="C29" s="330"/>
      <c r="D29" s="152"/>
      <c r="J29" s="152"/>
      <c r="K29" s="152"/>
      <c r="L29" s="161" t="s">
        <v>179</v>
      </c>
      <c r="M29" s="150">
        <v>4093.8</v>
      </c>
      <c r="N29" s="175">
        <v>4433.2620000000006</v>
      </c>
      <c r="O29" s="175">
        <v>4780.1385900000005</v>
      </c>
      <c r="P29" s="175">
        <v>5131.8264942000005</v>
      </c>
      <c r="Q29" s="175">
        <v>5468.7063100500009</v>
      </c>
      <c r="R29" s="175">
        <v>5802.7139918005505</v>
      </c>
      <c r="S29" s="176">
        <v>6130.6508800727206</v>
      </c>
    </row>
    <row r="30" spans="2:19" x14ac:dyDescent="0.2">
      <c r="E30" s="152"/>
      <c r="G30" s="152"/>
      <c r="H30" s="152"/>
      <c r="I30" s="152"/>
      <c r="J30" s="152"/>
      <c r="K30" s="152"/>
      <c r="L30" s="161" t="s">
        <v>55</v>
      </c>
      <c r="M30" s="150">
        <f>DCF!M22</f>
        <v>204.7</v>
      </c>
      <c r="N30" s="175">
        <f>N29*N31</f>
        <v>208.36331400000003</v>
      </c>
      <c r="O30" s="175">
        <f>O29*O31</f>
        <v>215.10623655000001</v>
      </c>
      <c r="P30" s="175">
        <f t="shared" ref="P30:S30" si="11">P29*P31</f>
        <v>220.66853925059999</v>
      </c>
      <c r="Q30" s="175">
        <f t="shared" si="11"/>
        <v>229.68566502210004</v>
      </c>
      <c r="R30" s="175">
        <f t="shared" si="11"/>
        <v>237.91127366382258</v>
      </c>
      <c r="S30" s="176">
        <f t="shared" si="11"/>
        <v>245.22603520290883</v>
      </c>
    </row>
    <row r="31" spans="2:19" x14ac:dyDescent="0.2">
      <c r="B31" s="152" t="s">
        <v>322</v>
      </c>
      <c r="C31" s="152"/>
      <c r="D31" s="152"/>
      <c r="E31" s="152"/>
      <c r="F31" s="152"/>
      <c r="G31" s="152"/>
      <c r="H31" s="152"/>
      <c r="I31" s="152"/>
      <c r="J31" s="152"/>
      <c r="K31" s="152"/>
      <c r="L31" s="168" t="s">
        <v>193</v>
      </c>
      <c r="M31" s="159">
        <f>M30/M29</f>
        <v>5.0002442718256872E-2</v>
      </c>
      <c r="N31" s="159">
        <v>4.7E-2</v>
      </c>
      <c r="O31" s="159">
        <v>4.4999999999999998E-2</v>
      </c>
      <c r="P31" s="159">
        <v>4.2999999999999997E-2</v>
      </c>
      <c r="Q31" s="159">
        <v>4.2000000000000003E-2</v>
      </c>
      <c r="R31" s="159">
        <v>4.1000000000000002E-2</v>
      </c>
      <c r="S31" s="159">
        <v>0.04</v>
      </c>
    </row>
    <row r="32" spans="2:19" x14ac:dyDescent="0.2">
      <c r="B32" s="152" t="s">
        <v>172</v>
      </c>
      <c r="C32" s="157">
        <f>D25/(C28-D12)</f>
        <v>7461.3116018272367</v>
      </c>
      <c r="D32" s="152" t="s">
        <v>195</v>
      </c>
      <c r="F32" s="152"/>
      <c r="G32" s="152"/>
      <c r="H32" s="152"/>
      <c r="I32" s="152"/>
      <c r="J32" s="152"/>
      <c r="K32" s="152"/>
      <c r="L32" s="161" t="s">
        <v>194</v>
      </c>
      <c r="M32" s="150">
        <f>M30-'Douglas''s History '!D66</f>
        <v>90.1</v>
      </c>
      <c r="N32" s="175">
        <f>N30-M30</f>
        <v>3.6633140000000424</v>
      </c>
      <c r="O32" s="175">
        <f t="shared" ref="O32:S32" si="12">O30-N30</f>
        <v>6.7429225499999745</v>
      </c>
      <c r="P32" s="175">
        <f t="shared" si="12"/>
        <v>5.5623027005999859</v>
      </c>
      <c r="Q32" s="175">
        <f t="shared" si="12"/>
        <v>9.0171257715000479</v>
      </c>
      <c r="R32" s="175">
        <f t="shared" si="12"/>
        <v>8.2256086417225447</v>
      </c>
      <c r="S32" s="176">
        <f t="shared" si="12"/>
        <v>7.3147615390862484</v>
      </c>
    </row>
    <row r="33" spans="2:19" x14ac:dyDescent="0.2">
      <c r="B33" s="152"/>
      <c r="C33" s="152"/>
      <c r="D33" s="152"/>
      <c r="E33" s="152"/>
      <c r="G33" s="152"/>
      <c r="H33" s="152"/>
      <c r="I33" s="152"/>
      <c r="J33" s="152"/>
      <c r="K33" s="152"/>
      <c r="L33" s="152"/>
      <c r="M33" s="152"/>
      <c r="N33" s="152"/>
      <c r="O33" s="152"/>
      <c r="P33" s="152"/>
      <c r="Q33" s="152"/>
      <c r="R33" s="152"/>
      <c r="S33" s="152"/>
    </row>
    <row r="34" spans="2:19" x14ac:dyDescent="0.2">
      <c r="B34" s="152" t="s">
        <v>196</v>
      </c>
      <c r="C34" s="151" t="s">
        <v>174</v>
      </c>
      <c r="D34" s="152"/>
      <c r="E34" s="152"/>
      <c r="F34" s="152"/>
    </row>
    <row r="35" spans="2:19" x14ac:dyDescent="0.2">
      <c r="B35" s="152" t="s">
        <v>175</v>
      </c>
      <c r="C35" s="158">
        <f>'Douglas''s History '!C149</f>
        <v>3423.6</v>
      </c>
      <c r="E35" s="152"/>
      <c r="F35" s="157"/>
    </row>
    <row r="36" spans="2:19" x14ac:dyDescent="0.2">
      <c r="B36" s="152" t="s">
        <v>176</v>
      </c>
      <c r="C36" s="158">
        <v>107.69</v>
      </c>
      <c r="G36" s="152"/>
      <c r="H36" s="152"/>
      <c r="I36" s="152"/>
    </row>
    <row r="37" spans="2:19" x14ac:dyDescent="0.2">
      <c r="B37" s="242" t="s">
        <v>177</v>
      </c>
      <c r="C37" s="391">
        <f>(C32-C35)/C36</f>
        <v>37.493839742104534</v>
      </c>
      <c r="F37" s="152"/>
      <c r="G37" s="152"/>
      <c r="H37" s="152"/>
      <c r="I37" s="152"/>
    </row>
    <row r="38" spans="2:19" x14ac:dyDescent="0.2">
      <c r="G38" s="152"/>
      <c r="H38" s="152"/>
      <c r="I38" s="152"/>
    </row>
    <row r="39" spans="2:19" x14ac:dyDescent="0.2">
      <c r="G39" s="152"/>
      <c r="H39" s="152"/>
      <c r="I39" s="152"/>
    </row>
    <row r="43" spans="2:19" ht="16" x14ac:dyDescent="0.2">
      <c r="B43" s="321" t="s">
        <v>328</v>
      </c>
    </row>
    <row r="45" spans="2:19" x14ac:dyDescent="0.2">
      <c r="B45" s="101" t="s">
        <v>255</v>
      </c>
      <c r="C45" s="43">
        <v>2023</v>
      </c>
      <c r="D45" s="151">
        <v>2024</v>
      </c>
      <c r="E45" s="151">
        <v>2025</v>
      </c>
      <c r="F45" s="151">
        <v>2026</v>
      </c>
      <c r="G45" s="151">
        <v>2027</v>
      </c>
      <c r="H45" s="151">
        <v>2028</v>
      </c>
      <c r="I45" s="151">
        <v>2029</v>
      </c>
    </row>
    <row r="46" spans="2:19" ht="17" customHeight="1" x14ac:dyDescent="0.2">
      <c r="B46" s="405" t="s">
        <v>179</v>
      </c>
      <c r="C46" s="406">
        <f>DCF!C8</f>
        <v>4093.9</v>
      </c>
      <c r="D46" s="407">
        <f t="shared" ref="D46:I46" si="13">C46*(1+D47)</f>
        <v>4298.5950000000003</v>
      </c>
      <c r="E46" s="407">
        <f t="shared" si="13"/>
        <v>4513.5247500000005</v>
      </c>
      <c r="F46" s="407">
        <f t="shared" si="13"/>
        <v>4739.2009875000003</v>
      </c>
      <c r="G46" s="407">
        <f t="shared" si="13"/>
        <v>4976.1610368750007</v>
      </c>
      <c r="H46" s="407">
        <f t="shared" si="13"/>
        <v>5224.9690887187508</v>
      </c>
      <c r="I46" s="408">
        <f t="shared" si="13"/>
        <v>5486.2175431546884</v>
      </c>
    </row>
    <row r="47" spans="2:19" ht="20" customHeight="1" x14ac:dyDescent="0.2">
      <c r="B47" s="285" t="s">
        <v>197</v>
      </c>
      <c r="C47" s="286"/>
      <c r="D47" s="287">
        <v>0.05</v>
      </c>
      <c r="E47" s="287">
        <v>0.05</v>
      </c>
      <c r="F47" s="287">
        <v>0.05</v>
      </c>
      <c r="G47" s="287">
        <v>0.05</v>
      </c>
      <c r="H47" s="287">
        <v>0.05</v>
      </c>
      <c r="I47" s="288">
        <v>0.05</v>
      </c>
    </row>
    <row r="48" spans="2:19" x14ac:dyDescent="0.2">
      <c r="B48" s="280" t="s">
        <v>166</v>
      </c>
      <c r="C48" s="281"/>
      <c r="D48" s="282">
        <f t="shared" ref="D48:I48" si="14">D46*D49</f>
        <v>790.94148000000007</v>
      </c>
      <c r="E48" s="282">
        <f t="shared" si="14"/>
        <v>835.00207875000012</v>
      </c>
      <c r="F48" s="282">
        <f t="shared" si="14"/>
        <v>900.44818762500006</v>
      </c>
      <c r="G48" s="282">
        <f t="shared" si="14"/>
        <v>970.35140219062521</v>
      </c>
      <c r="H48" s="282">
        <f t="shared" si="14"/>
        <v>1029.318910477594</v>
      </c>
      <c r="I48" s="283">
        <f t="shared" si="14"/>
        <v>1097.2435086309376</v>
      </c>
    </row>
    <row r="49" spans="2:19" ht="20" x14ac:dyDescent="0.2">
      <c r="B49" s="276" t="s">
        <v>167</v>
      </c>
      <c r="C49" s="270"/>
      <c r="D49" s="271">
        <v>0.184</v>
      </c>
      <c r="E49" s="271">
        <v>0.185</v>
      </c>
      <c r="F49" s="271">
        <v>0.19</v>
      </c>
      <c r="G49" s="271">
        <v>0.19500000000000001</v>
      </c>
      <c r="H49" s="271">
        <v>0.19700000000000001</v>
      </c>
      <c r="I49" s="277">
        <v>0.2</v>
      </c>
      <c r="L49" s="489" t="s">
        <v>331</v>
      </c>
      <c r="M49" s="489"/>
      <c r="N49" s="489"/>
      <c r="O49" s="489"/>
      <c r="P49" s="489"/>
      <c r="Q49" s="489"/>
      <c r="R49" s="264"/>
      <c r="S49" s="264"/>
    </row>
    <row r="50" spans="2:19" ht="20" x14ac:dyDescent="0.2">
      <c r="B50" s="267" t="s">
        <v>168</v>
      </c>
      <c r="C50" s="151"/>
      <c r="D50" s="269">
        <f t="shared" ref="D50:I50" si="15">D51*D46</f>
        <v>401.9186325</v>
      </c>
      <c r="E50" s="269">
        <f t="shared" si="15"/>
        <v>412.98751462500002</v>
      </c>
      <c r="F50" s="269">
        <f t="shared" si="15"/>
        <v>417.99752709750004</v>
      </c>
      <c r="G50" s="269">
        <f t="shared" si="15"/>
        <v>420.48560761593757</v>
      </c>
      <c r="H50" s="269">
        <f t="shared" si="15"/>
        <v>420.61001164185944</v>
      </c>
      <c r="I50" s="268">
        <f t="shared" si="15"/>
        <v>420.79288555996465</v>
      </c>
      <c r="L50" s="489"/>
      <c r="M50" s="489"/>
      <c r="N50" s="489"/>
      <c r="O50" s="489"/>
      <c r="P50" s="489"/>
      <c r="Q50" s="489"/>
      <c r="R50" s="264"/>
      <c r="S50" s="264"/>
    </row>
    <row r="51" spans="2:19" x14ac:dyDescent="0.2">
      <c r="B51" s="278" t="s">
        <v>183</v>
      </c>
      <c r="C51" s="279"/>
      <c r="D51" s="279">
        <v>9.35E-2</v>
      </c>
      <c r="E51" s="279">
        <v>9.1499999999999998E-2</v>
      </c>
      <c r="F51" s="279">
        <v>8.8200000000000001E-2</v>
      </c>
      <c r="G51" s="279">
        <v>8.4500000000000006E-2</v>
      </c>
      <c r="H51" s="279">
        <v>8.0500000000000002E-2</v>
      </c>
      <c r="I51" s="284">
        <v>7.6700000000000004E-2</v>
      </c>
    </row>
    <row r="52" spans="2:19" x14ac:dyDescent="0.2">
      <c r="B52" s="280" t="s">
        <v>169</v>
      </c>
      <c r="C52" s="289"/>
      <c r="D52" s="289">
        <f>D46*D53</f>
        <v>300.90165000000007</v>
      </c>
      <c r="E52" s="289">
        <f t="shared" ref="E52:G52" si="16">E46*E53</f>
        <v>315.94673250000005</v>
      </c>
      <c r="F52" s="289">
        <f t="shared" si="16"/>
        <v>331.74406912500007</v>
      </c>
      <c r="G52" s="289">
        <f t="shared" si="16"/>
        <v>348.33127258125006</v>
      </c>
      <c r="H52" s="289">
        <f>H46*H53</f>
        <v>365.74783621031258</v>
      </c>
      <c r="I52" s="290">
        <f t="shared" ref="I52" si="17">I46*I53</f>
        <v>384.03522802082824</v>
      </c>
      <c r="L52" s="374" t="s">
        <v>332</v>
      </c>
      <c r="M52" s="375"/>
      <c r="N52" s="375" t="s">
        <v>97</v>
      </c>
      <c r="O52" s="375" t="s">
        <v>333</v>
      </c>
      <c r="P52" s="375" t="s">
        <v>334</v>
      </c>
      <c r="Q52" s="377" t="s">
        <v>335</v>
      </c>
    </row>
    <row r="53" spans="2:19" x14ac:dyDescent="0.2">
      <c r="B53" s="276" t="s">
        <v>185</v>
      </c>
      <c r="C53" s="270"/>
      <c r="D53" s="270">
        <v>7.0000000000000007E-2</v>
      </c>
      <c r="E53" s="270">
        <v>7.0000000000000007E-2</v>
      </c>
      <c r="F53" s="270">
        <v>7.0000000000000007E-2</v>
      </c>
      <c r="G53" s="270">
        <v>7.0000000000000007E-2</v>
      </c>
      <c r="H53" s="270">
        <v>7.0000000000000007E-2</v>
      </c>
      <c r="I53" s="291">
        <v>7.0000000000000007E-2</v>
      </c>
      <c r="L53" s="543" t="s">
        <v>379</v>
      </c>
      <c r="M53" s="544"/>
      <c r="N53" s="367">
        <f>C28</f>
        <v>0.11907728416325347</v>
      </c>
      <c r="O53" s="370">
        <f>C32</f>
        <v>7461.3116018272367</v>
      </c>
      <c r="P53" s="370">
        <f>C37</f>
        <v>37.493839742104534</v>
      </c>
      <c r="Q53" s="373" t="s">
        <v>378</v>
      </c>
    </row>
    <row r="54" spans="2:19" x14ac:dyDescent="0.2">
      <c r="B54" s="267" t="s">
        <v>186</v>
      </c>
      <c r="C54" s="272"/>
      <c r="D54" s="272">
        <v>0.3</v>
      </c>
      <c r="E54" s="272">
        <v>0.3</v>
      </c>
      <c r="F54" s="272">
        <v>0.3</v>
      </c>
      <c r="G54" s="272">
        <v>0.3</v>
      </c>
      <c r="H54" s="272">
        <v>0.3</v>
      </c>
      <c r="I54" s="292">
        <v>0.3</v>
      </c>
      <c r="L54" s="543" t="s">
        <v>380</v>
      </c>
      <c r="M54" s="544"/>
      <c r="N54" s="367">
        <f>C62</f>
        <v>0.11907728416325347</v>
      </c>
      <c r="O54" s="370">
        <f>C65</f>
        <v>6568.3286335881057</v>
      </c>
      <c r="P54" s="370">
        <f>C71</f>
        <v>29.201677347832721</v>
      </c>
      <c r="Q54" s="395" t="s">
        <v>384</v>
      </c>
    </row>
    <row r="55" spans="2:19" x14ac:dyDescent="0.2">
      <c r="B55" s="267" t="s">
        <v>187</v>
      </c>
      <c r="C55" s="155"/>
      <c r="D55" s="155">
        <f t="shared" ref="D55:I55" si="18">D54*D52</f>
        <v>90.270495000000025</v>
      </c>
      <c r="E55" s="155">
        <f t="shared" si="18"/>
        <v>94.784019750000013</v>
      </c>
      <c r="F55" s="155">
        <f t="shared" si="18"/>
        <v>99.523220737500012</v>
      </c>
      <c r="G55" s="155">
        <f t="shared" si="18"/>
        <v>104.49938177437501</v>
      </c>
      <c r="H55" s="155">
        <f t="shared" si="18"/>
        <v>109.72435086309378</v>
      </c>
      <c r="I55" s="293">
        <f t="shared" si="18"/>
        <v>115.21056840624847</v>
      </c>
    </row>
    <row r="56" spans="2:19" ht="16" x14ac:dyDescent="0.2">
      <c r="B56" s="294" t="s">
        <v>188</v>
      </c>
      <c r="C56" s="295"/>
      <c r="D56" s="295">
        <f t="shared" ref="D56:I56" si="19">D52-D55</f>
        <v>210.63115500000004</v>
      </c>
      <c r="E56" s="295">
        <f t="shared" si="19"/>
        <v>221.16271275000003</v>
      </c>
      <c r="F56" s="295">
        <f t="shared" si="19"/>
        <v>232.22084838750004</v>
      </c>
      <c r="G56" s="295">
        <f t="shared" si="19"/>
        <v>243.83189080687504</v>
      </c>
      <c r="H56" s="295">
        <f t="shared" si="19"/>
        <v>256.02348534721881</v>
      </c>
      <c r="I56" s="296">
        <f t="shared" si="19"/>
        <v>268.82465961457979</v>
      </c>
      <c r="L56" s="378" t="s">
        <v>379</v>
      </c>
      <c r="M56" s="378"/>
    </row>
    <row r="57" spans="2:19" ht="20" customHeight="1" x14ac:dyDescent="0.2">
      <c r="B57" s="273" t="s">
        <v>189</v>
      </c>
      <c r="C57" s="301"/>
      <c r="D57" s="274">
        <f t="shared" ref="D57:I57" si="20">D50</f>
        <v>401.9186325</v>
      </c>
      <c r="E57" s="274">
        <f t="shared" si="20"/>
        <v>412.98751462500002</v>
      </c>
      <c r="F57" s="274">
        <f t="shared" si="20"/>
        <v>417.99752709750004</v>
      </c>
      <c r="G57" s="274">
        <f t="shared" si="20"/>
        <v>420.48560761593757</v>
      </c>
      <c r="H57" s="274">
        <f t="shared" si="20"/>
        <v>420.61001164185944</v>
      </c>
      <c r="I57" s="275">
        <f t="shared" si="20"/>
        <v>420.79288555996465</v>
      </c>
      <c r="L57" s="524" t="s">
        <v>386</v>
      </c>
      <c r="M57" s="525"/>
      <c r="N57" s="525"/>
      <c r="O57" s="525"/>
      <c r="P57" s="525"/>
      <c r="Q57" s="525"/>
      <c r="R57" s="525"/>
      <c r="S57" s="526"/>
    </row>
    <row r="58" spans="2:19" x14ac:dyDescent="0.2">
      <c r="B58" s="267" t="s">
        <v>190</v>
      </c>
      <c r="C58" s="151"/>
      <c r="D58" s="269">
        <f t="shared" ref="D58:I58" si="21">-N22</f>
        <v>-155.16417000000004</v>
      </c>
      <c r="E58" s="269">
        <f t="shared" si="21"/>
        <v>-162.52471206000004</v>
      </c>
      <c r="F58" s="269">
        <f t="shared" si="21"/>
        <v>-169.35027430860004</v>
      </c>
      <c r="G58" s="269">
        <f t="shared" si="21"/>
        <v>-174.99860192160003</v>
      </c>
      <c r="H58" s="269">
        <f t="shared" si="21"/>
        <v>-179.88413374581705</v>
      </c>
      <c r="I58" s="268">
        <f t="shared" si="21"/>
        <v>-183.91952640218162</v>
      </c>
      <c r="L58" s="527"/>
      <c r="M58" s="528"/>
      <c r="N58" s="528"/>
      <c r="O58" s="528"/>
      <c r="P58" s="528"/>
      <c r="Q58" s="528"/>
      <c r="R58" s="528"/>
      <c r="S58" s="529"/>
    </row>
    <row r="59" spans="2:19" x14ac:dyDescent="0.2">
      <c r="B59" s="302" t="s">
        <v>191</v>
      </c>
      <c r="C59" s="303"/>
      <c r="D59" s="304">
        <f t="shared" ref="D59:I59" si="22">-N32</f>
        <v>-3.6633140000000424</v>
      </c>
      <c r="E59" s="304">
        <f t="shared" si="22"/>
        <v>-6.7429225499999745</v>
      </c>
      <c r="F59" s="304">
        <f t="shared" si="22"/>
        <v>-5.5623027005999859</v>
      </c>
      <c r="G59" s="304">
        <f t="shared" si="22"/>
        <v>-9.0171257715000479</v>
      </c>
      <c r="H59" s="304">
        <f t="shared" si="22"/>
        <v>-8.2256086417225447</v>
      </c>
      <c r="I59" s="305">
        <f t="shared" si="22"/>
        <v>-7.3147615390862484</v>
      </c>
      <c r="L59" s="530"/>
      <c r="M59" s="531"/>
      <c r="N59" s="531"/>
      <c r="O59" s="531"/>
      <c r="P59" s="531"/>
      <c r="Q59" s="531"/>
      <c r="R59" s="531"/>
      <c r="S59" s="532"/>
    </row>
    <row r="60" spans="2:19" ht="16" thickBot="1" x14ac:dyDescent="0.25">
      <c r="B60" s="297" t="s">
        <v>192</v>
      </c>
      <c r="C60" s="298"/>
      <c r="D60" s="299">
        <f t="shared" ref="D60:I60" si="23">D56+SUM(D57:D59)</f>
        <v>453.72230349999995</v>
      </c>
      <c r="E60" s="299">
        <f t="shared" si="23"/>
        <v>464.88259276500003</v>
      </c>
      <c r="F60" s="299">
        <f t="shared" si="23"/>
        <v>475.30579847580009</v>
      </c>
      <c r="G60" s="299">
        <f t="shared" si="23"/>
        <v>480.30177072971253</v>
      </c>
      <c r="H60" s="299">
        <f t="shared" si="23"/>
        <v>488.52375460153866</v>
      </c>
      <c r="I60" s="300">
        <f t="shared" si="23"/>
        <v>498.38325723327659</v>
      </c>
    </row>
    <row r="61" spans="2:19" ht="16" x14ac:dyDescent="0.2">
      <c r="B61" s="152"/>
      <c r="C61" s="152"/>
      <c r="L61" s="378" t="s">
        <v>380</v>
      </c>
      <c r="M61" s="378"/>
    </row>
    <row r="62" spans="2:19" ht="16" customHeight="1" x14ac:dyDescent="0.2">
      <c r="B62" s="308" t="s">
        <v>265</v>
      </c>
      <c r="C62" s="309">
        <f>'Beta &amp; WACC Estimation'!G35</f>
        <v>0.11907728416325347</v>
      </c>
      <c r="L62" s="533" t="s">
        <v>383</v>
      </c>
      <c r="M62" s="534"/>
      <c r="N62" s="534"/>
      <c r="O62" s="534"/>
      <c r="P62" s="534"/>
      <c r="Q62" s="534"/>
      <c r="R62" s="534"/>
      <c r="S62" s="535"/>
    </row>
    <row r="63" spans="2:19" x14ac:dyDescent="0.2">
      <c r="L63" s="536"/>
      <c r="M63" s="537"/>
      <c r="N63" s="537"/>
      <c r="O63" s="537"/>
      <c r="P63" s="537"/>
      <c r="Q63" s="537"/>
      <c r="R63" s="537"/>
      <c r="S63" s="538"/>
    </row>
    <row r="64" spans="2:19" x14ac:dyDescent="0.2">
      <c r="B64" s="152" t="s">
        <v>322</v>
      </c>
      <c r="C64" s="152"/>
      <c r="L64" s="539"/>
      <c r="M64" s="540"/>
      <c r="N64" s="540"/>
      <c r="O64" s="540"/>
      <c r="P64" s="540"/>
      <c r="Q64" s="540"/>
      <c r="R64" s="540"/>
      <c r="S64" s="541"/>
    </row>
    <row r="65" spans="2:5" x14ac:dyDescent="0.2">
      <c r="B65" s="152" t="s">
        <v>172</v>
      </c>
      <c r="C65" s="157">
        <f>(D60/(C62-D47))</f>
        <v>6568.3286335881057</v>
      </c>
      <c r="D65" s="152" t="s">
        <v>195</v>
      </c>
    </row>
    <row r="66" spans="2:5" x14ac:dyDescent="0.2">
      <c r="B66" s="152"/>
      <c r="C66" s="152"/>
    </row>
    <row r="67" spans="2:5" x14ac:dyDescent="0.2">
      <c r="B67" s="152"/>
      <c r="C67" s="152"/>
      <c r="D67" s="152"/>
      <c r="E67" s="152"/>
    </row>
    <row r="68" spans="2:5" x14ac:dyDescent="0.2">
      <c r="B68" s="152" t="s">
        <v>196</v>
      </c>
      <c r="C68" s="151" t="s">
        <v>174</v>
      </c>
    </row>
    <row r="69" spans="2:5" x14ac:dyDescent="0.2">
      <c r="B69" s="152" t="s">
        <v>175</v>
      </c>
      <c r="C69" s="158">
        <f>C35</f>
        <v>3423.6</v>
      </c>
    </row>
    <row r="70" spans="2:5" x14ac:dyDescent="0.2">
      <c r="B70" s="152" t="s">
        <v>176</v>
      </c>
      <c r="C70" s="158">
        <v>107.69</v>
      </c>
    </row>
    <row r="71" spans="2:5" x14ac:dyDescent="0.2">
      <c r="B71" s="242" t="s">
        <v>177</v>
      </c>
      <c r="C71" s="391">
        <f>(C65-C69)/C70</f>
        <v>29.201677347832721</v>
      </c>
    </row>
    <row r="72" spans="2:5" ht="16" x14ac:dyDescent="0.2">
      <c r="D72" s="343"/>
    </row>
    <row r="77" spans="2:5" ht="16" x14ac:dyDescent="0.2">
      <c r="D77" s="343"/>
    </row>
    <row r="78" spans="2:5" ht="16" x14ac:dyDescent="0.2">
      <c r="D78" s="343"/>
    </row>
  </sheetData>
  <mergeCells count="6">
    <mergeCell ref="L57:S59"/>
    <mergeCell ref="L62:S64"/>
    <mergeCell ref="B2:I4"/>
    <mergeCell ref="L49:Q50"/>
    <mergeCell ref="L53:M53"/>
    <mergeCell ref="L54:M5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9AE18-EF3E-1E4A-8758-E2407B162F1B}">
  <dimension ref="A1:X37"/>
  <sheetViews>
    <sheetView zoomScale="87" workbookViewId="0">
      <selection activeCell="B2" sqref="B2:I3"/>
    </sheetView>
  </sheetViews>
  <sheetFormatPr baseColWidth="10" defaultColWidth="11.5" defaultRowHeight="15" x14ac:dyDescent="0.2"/>
  <cols>
    <col min="1" max="1" width="16.83203125" customWidth="1"/>
    <col min="2" max="2" width="28.5" customWidth="1"/>
    <col min="3" max="3" width="17.33203125" customWidth="1"/>
    <col min="4" max="4" width="13.5" customWidth="1"/>
    <col min="5" max="5" width="15.33203125" customWidth="1"/>
    <col min="6" max="6" width="15" customWidth="1"/>
    <col min="7" max="7" width="14.1640625" customWidth="1"/>
    <col min="8" max="8" width="14.83203125" customWidth="1"/>
    <col min="9" max="9" width="16.1640625" customWidth="1"/>
  </cols>
  <sheetData>
    <row r="1" spans="1:24" ht="14.5" customHeight="1" x14ac:dyDescent="0.2"/>
    <row r="2" spans="1:24" ht="14.5" customHeight="1" x14ac:dyDescent="0.2">
      <c r="A2" s="152"/>
      <c r="B2" s="553" t="s">
        <v>257</v>
      </c>
      <c r="C2" s="554"/>
      <c r="D2" s="554"/>
      <c r="E2" s="554"/>
      <c r="F2" s="554"/>
      <c r="G2" s="554"/>
      <c r="H2" s="554"/>
      <c r="I2" s="555"/>
      <c r="J2" s="152"/>
      <c r="K2" s="152"/>
      <c r="L2" s="152"/>
      <c r="M2" s="152"/>
      <c r="N2" s="152"/>
      <c r="O2" s="152"/>
      <c r="P2" s="152"/>
      <c r="Q2" s="152"/>
      <c r="R2" s="152"/>
      <c r="S2" s="152"/>
      <c r="T2" s="152"/>
      <c r="U2" s="152"/>
      <c r="V2" s="152"/>
      <c r="W2" s="152"/>
      <c r="X2" s="152"/>
    </row>
    <row r="3" spans="1:24" ht="17.5" customHeight="1" x14ac:dyDescent="0.2">
      <c r="A3" s="152"/>
      <c r="B3" s="556"/>
      <c r="C3" s="557"/>
      <c r="D3" s="557"/>
      <c r="E3" s="557"/>
      <c r="F3" s="557"/>
      <c r="G3" s="557"/>
      <c r="H3" s="557"/>
      <c r="I3" s="558"/>
      <c r="J3" s="152"/>
      <c r="K3" s="152"/>
      <c r="L3" s="152"/>
      <c r="M3" s="152"/>
      <c r="N3" s="152"/>
      <c r="O3" s="152"/>
      <c r="P3" s="152"/>
      <c r="Q3" s="152"/>
      <c r="R3" s="152"/>
      <c r="S3" s="152"/>
      <c r="T3" s="152"/>
      <c r="U3" s="152"/>
      <c r="V3" s="152"/>
      <c r="W3" s="152"/>
      <c r="X3" s="152"/>
    </row>
    <row r="4" spans="1:24" x14ac:dyDescent="0.2">
      <c r="A4" s="152"/>
      <c r="M4" s="152"/>
      <c r="N4" s="152"/>
      <c r="O4" s="152"/>
      <c r="P4" s="152"/>
      <c r="Q4" s="152"/>
      <c r="R4" s="152"/>
      <c r="S4" s="152"/>
      <c r="T4" s="152"/>
      <c r="U4" s="152"/>
      <c r="V4" s="152"/>
      <c r="W4" s="152"/>
      <c r="X4" s="152"/>
    </row>
    <row r="5" spans="1:24" ht="16" x14ac:dyDescent="0.2">
      <c r="A5" s="152"/>
      <c r="B5" s="559" t="s">
        <v>268</v>
      </c>
      <c r="C5" s="559"/>
      <c r="D5" s="559"/>
      <c r="E5" s="559"/>
      <c r="F5" s="559"/>
      <c r="G5" s="559"/>
      <c r="H5" s="559"/>
      <c r="I5" s="559"/>
      <c r="M5" s="152"/>
      <c r="N5" s="152"/>
      <c r="O5" s="152"/>
      <c r="P5" s="152"/>
      <c r="Q5" s="152"/>
      <c r="R5" s="152"/>
      <c r="S5" s="152"/>
      <c r="T5" s="152"/>
      <c r="U5" s="152"/>
      <c r="V5" s="152"/>
      <c r="W5" s="152"/>
      <c r="X5" s="152"/>
    </row>
    <row r="6" spans="1:24" x14ac:dyDescent="0.2">
      <c r="A6" s="152"/>
      <c r="M6" s="152"/>
      <c r="N6" s="152"/>
      <c r="O6" s="152"/>
      <c r="P6" s="152"/>
      <c r="Q6" s="152"/>
      <c r="R6" s="152"/>
      <c r="S6" s="152"/>
      <c r="T6" s="152"/>
      <c r="U6" s="152"/>
      <c r="V6" s="152"/>
      <c r="W6" s="152"/>
      <c r="X6" s="152"/>
    </row>
    <row r="7" spans="1:24" x14ac:dyDescent="0.2">
      <c r="A7" s="152"/>
      <c r="B7" s="152" t="s">
        <v>252</v>
      </c>
      <c r="C7" s="316">
        <v>2023</v>
      </c>
      <c r="D7" s="247">
        <v>2024</v>
      </c>
      <c r="E7" s="236">
        <v>2025</v>
      </c>
      <c r="F7" s="236">
        <v>2026</v>
      </c>
      <c r="G7" s="236">
        <v>2027</v>
      </c>
      <c r="H7" s="236">
        <v>2028</v>
      </c>
      <c r="I7" s="237">
        <v>2029</v>
      </c>
      <c r="J7" s="152"/>
      <c r="K7" s="152"/>
      <c r="L7" s="152"/>
      <c r="M7" s="152"/>
      <c r="N7" s="152"/>
      <c r="O7" s="152"/>
      <c r="P7" s="152"/>
      <c r="Q7" s="152"/>
      <c r="R7" s="152"/>
      <c r="S7" s="152"/>
      <c r="T7" s="152"/>
      <c r="U7" s="152"/>
      <c r="V7" s="152"/>
      <c r="W7" s="152"/>
      <c r="X7" s="152"/>
    </row>
    <row r="8" spans="1:24" x14ac:dyDescent="0.2">
      <c r="A8" s="152"/>
      <c r="B8" s="256" t="s">
        <v>243</v>
      </c>
      <c r="C8" s="256"/>
      <c r="D8" s="317">
        <f>DCF!D22</f>
        <v>528.24970604999999</v>
      </c>
      <c r="E8" s="315">
        <f>DCF!E22</f>
        <v>562.93609316774985</v>
      </c>
      <c r="F8" s="238">
        <f>DCF!F22</f>
        <v>613.63561551916212</v>
      </c>
      <c r="G8" s="238">
        <f>DCF!G22</f>
        <v>656.36964298764224</v>
      </c>
      <c r="H8" s="238">
        <f>DCF!H22</f>
        <v>691.1781756733867</v>
      </c>
      <c r="I8" s="178">
        <f>DCF!I22</f>
        <v>724.22000916715854</v>
      </c>
      <c r="J8" s="318" t="s">
        <v>247</v>
      </c>
      <c r="K8" s="152"/>
      <c r="L8" s="152"/>
      <c r="M8" s="152"/>
      <c r="N8" s="152"/>
      <c r="O8" s="152"/>
      <c r="P8" s="152"/>
      <c r="Q8" s="152"/>
      <c r="R8" s="152"/>
      <c r="S8" s="152"/>
      <c r="T8" s="152"/>
      <c r="U8" s="152"/>
      <c r="V8" s="152"/>
      <c r="W8" s="152"/>
      <c r="X8" s="152"/>
    </row>
    <row r="9" spans="1:24" x14ac:dyDescent="0.2">
      <c r="A9" s="152"/>
      <c r="B9" s="256" t="s">
        <v>244</v>
      </c>
      <c r="C9" s="256"/>
      <c r="D9" s="314">
        <f>D8/(1+$K$12)</f>
        <v>482.41982287671232</v>
      </c>
      <c r="E9" s="240">
        <f>E8/(1+$K$12)^2</f>
        <v>469.49487555951697</v>
      </c>
      <c r="F9" s="239">
        <f>F8/(1+$K$12)^3</f>
        <v>467.3779298946468</v>
      </c>
      <c r="G9" s="239">
        <f>G8/(1+$K$12)^4</f>
        <v>456.55385068523708</v>
      </c>
      <c r="H9" s="239">
        <f>H8/(1+$K$12)^5</f>
        <v>439.05549882678167</v>
      </c>
      <c r="I9" s="240">
        <f>I8/(1+$K$12)^6</f>
        <v>420.13204161978297</v>
      </c>
      <c r="J9" s="241">
        <f>(I8*(1+K13))/(K12-K13)</f>
        <v>9849.3921246733571</v>
      </c>
      <c r="K9" s="152"/>
      <c r="L9" s="152"/>
      <c r="M9" s="152"/>
      <c r="N9" s="152"/>
      <c r="O9" s="152"/>
      <c r="P9" s="152"/>
      <c r="Q9" s="152"/>
      <c r="R9" s="152"/>
      <c r="S9" s="152"/>
      <c r="T9" s="152"/>
      <c r="U9" s="152"/>
      <c r="V9" s="152"/>
      <c r="W9" s="152"/>
      <c r="X9" s="152"/>
    </row>
    <row r="10" spans="1:24" x14ac:dyDescent="0.2">
      <c r="A10" s="152"/>
      <c r="B10" s="248" t="s">
        <v>245</v>
      </c>
      <c r="C10" s="249">
        <f>J9/(1+K12)^6</f>
        <v>5713.7957660290485</v>
      </c>
      <c r="D10" s="152"/>
      <c r="E10" s="152"/>
      <c r="F10" s="152"/>
      <c r="G10" s="152"/>
      <c r="H10" s="152"/>
      <c r="I10" s="152"/>
      <c r="J10" s="152"/>
      <c r="K10" s="152"/>
      <c r="L10" s="152"/>
      <c r="M10" s="152"/>
      <c r="N10" s="152"/>
      <c r="O10" s="152"/>
      <c r="P10" s="152"/>
      <c r="Q10" s="152"/>
      <c r="R10" s="152"/>
      <c r="S10" s="152"/>
      <c r="T10" s="152"/>
      <c r="U10" s="152"/>
      <c r="V10" s="152"/>
      <c r="W10" s="152"/>
      <c r="X10" s="152"/>
    </row>
    <row r="11" spans="1:24" x14ac:dyDescent="0.2">
      <c r="A11" s="152"/>
      <c r="D11" s="244"/>
      <c r="E11" s="152"/>
      <c r="F11" s="152"/>
      <c r="G11" s="152"/>
      <c r="H11" s="152"/>
      <c r="I11" s="152"/>
      <c r="J11" s="152"/>
      <c r="K11" s="152"/>
      <c r="L11" s="152"/>
      <c r="M11" s="152"/>
      <c r="N11" s="152"/>
      <c r="O11" s="152"/>
      <c r="P11" s="152"/>
      <c r="Q11" s="152"/>
      <c r="R11" s="152"/>
      <c r="S11" s="152"/>
      <c r="T11" s="152"/>
      <c r="U11" s="152"/>
      <c r="V11" s="152"/>
      <c r="W11" s="152"/>
      <c r="X11" s="152"/>
    </row>
    <row r="12" spans="1:24" x14ac:dyDescent="0.2">
      <c r="A12" s="152"/>
      <c r="B12" s="319" t="s">
        <v>254</v>
      </c>
      <c r="C12" s="320">
        <f>D9+E9+F9+G9+H9+I9+C10</f>
        <v>8448.8297854917255</v>
      </c>
      <c r="D12" s="244"/>
      <c r="E12" s="152"/>
      <c r="F12" s="152"/>
      <c r="G12" s="152"/>
      <c r="H12" s="152"/>
      <c r="I12" s="152"/>
      <c r="J12" s="245" t="s">
        <v>246</v>
      </c>
      <c r="K12" s="246">
        <f>'Beta &amp; WACC Estimation'!C41+'Beta &amp; WACC Estimation'!C58*'Beta &amp; WACC Estimation'!C42</f>
        <v>9.5000000000000001E-2</v>
      </c>
      <c r="L12" s="152"/>
      <c r="M12" s="152"/>
      <c r="N12" s="152"/>
      <c r="O12" s="152"/>
      <c r="P12" s="152"/>
      <c r="Q12" s="152"/>
      <c r="R12" s="152"/>
      <c r="S12" s="152"/>
      <c r="T12" s="152"/>
      <c r="U12" s="152"/>
      <c r="V12" s="152"/>
      <c r="W12" s="152"/>
      <c r="X12" s="152"/>
    </row>
    <row r="13" spans="1:24" x14ac:dyDescent="0.2">
      <c r="A13" s="152"/>
      <c r="B13" s="152"/>
      <c r="C13" s="152"/>
      <c r="D13" s="244"/>
      <c r="E13" s="152"/>
      <c r="F13" s="152"/>
      <c r="G13" s="152"/>
      <c r="H13" s="152"/>
      <c r="I13" s="152"/>
      <c r="J13" s="245" t="s">
        <v>258</v>
      </c>
      <c r="K13" s="246">
        <f>2%</f>
        <v>0.02</v>
      </c>
      <c r="L13" s="152"/>
      <c r="M13" s="152"/>
      <c r="N13" s="152"/>
      <c r="O13" s="152"/>
      <c r="P13" s="152"/>
      <c r="Q13" s="152"/>
      <c r="R13" s="152"/>
      <c r="S13" s="152"/>
      <c r="T13" s="152"/>
      <c r="U13" s="152"/>
      <c r="V13" s="152"/>
      <c r="W13" s="152"/>
      <c r="X13" s="152"/>
    </row>
    <row r="14" spans="1:24" x14ac:dyDescent="0.2">
      <c r="A14" s="152"/>
      <c r="J14" s="152"/>
      <c r="K14" s="152"/>
      <c r="L14" s="152"/>
      <c r="M14" s="152"/>
      <c r="N14" s="152"/>
      <c r="O14" s="152"/>
      <c r="P14" s="152"/>
      <c r="Q14" s="152"/>
      <c r="R14" s="152"/>
      <c r="S14" s="152"/>
      <c r="T14" s="152"/>
      <c r="U14" s="152"/>
      <c r="V14" s="152"/>
      <c r="W14" s="152"/>
      <c r="X14" s="152"/>
    </row>
    <row r="15" spans="1:24" ht="16" x14ac:dyDescent="0.2">
      <c r="A15" s="152"/>
      <c r="B15" s="560" t="s">
        <v>269</v>
      </c>
      <c r="C15" s="561"/>
      <c r="D15" s="561"/>
      <c r="E15" s="561"/>
      <c r="F15" s="561"/>
      <c r="G15" s="561"/>
      <c r="H15" s="561"/>
      <c r="I15" s="562"/>
      <c r="J15" s="152"/>
      <c r="K15" s="152"/>
      <c r="L15" s="152"/>
      <c r="M15" s="327"/>
      <c r="N15" s="152"/>
      <c r="O15" s="152"/>
      <c r="P15" s="152"/>
      <c r="Q15" s="152"/>
      <c r="R15" s="152"/>
      <c r="S15" s="152"/>
      <c r="T15" s="152"/>
      <c r="U15" s="152"/>
      <c r="V15" s="152"/>
      <c r="W15" s="152"/>
      <c r="X15" s="152"/>
    </row>
    <row r="16" spans="1:24" x14ac:dyDescent="0.2">
      <c r="A16" s="152"/>
      <c r="B16" s="152"/>
      <c r="C16" s="152"/>
      <c r="D16" s="152"/>
      <c r="E16" s="152"/>
      <c r="F16" s="152"/>
      <c r="G16" s="152"/>
      <c r="H16" s="152"/>
      <c r="I16" s="152"/>
      <c r="J16" s="151"/>
      <c r="K16" s="152"/>
      <c r="L16" s="152"/>
      <c r="M16" s="152"/>
      <c r="N16" s="152"/>
      <c r="O16" s="152"/>
      <c r="P16" s="152"/>
      <c r="Q16" s="152"/>
      <c r="R16" s="152"/>
      <c r="S16" s="152"/>
      <c r="T16" s="152"/>
      <c r="U16" s="152"/>
      <c r="V16" s="152"/>
      <c r="W16" s="152"/>
      <c r="X16" s="152"/>
    </row>
    <row r="17" spans="1:24" x14ac:dyDescent="0.2">
      <c r="A17" s="152"/>
      <c r="B17" s="152" t="s">
        <v>252</v>
      </c>
      <c r="C17" s="256">
        <v>2023</v>
      </c>
      <c r="D17" s="256">
        <v>2024</v>
      </c>
      <c r="E17" s="256">
        <v>2025</v>
      </c>
      <c r="F17" s="256">
        <v>2026</v>
      </c>
      <c r="G17" s="256">
        <v>2027</v>
      </c>
      <c r="H17" s="256">
        <v>2028</v>
      </c>
      <c r="I17" s="256">
        <v>2029</v>
      </c>
      <c r="J17" s="244"/>
      <c r="K17" s="152"/>
      <c r="L17" s="152"/>
      <c r="M17" s="152"/>
      <c r="N17" s="152"/>
      <c r="O17" s="152"/>
      <c r="P17" s="152"/>
      <c r="Q17" s="152"/>
      <c r="R17" s="152"/>
      <c r="S17" s="152"/>
      <c r="T17" s="152"/>
      <c r="U17" s="152"/>
      <c r="V17" s="152"/>
      <c r="W17" s="152"/>
      <c r="X17" s="152"/>
    </row>
    <row r="18" spans="1:24" x14ac:dyDescent="0.2">
      <c r="A18" s="152"/>
      <c r="B18" s="310" t="s">
        <v>175</v>
      </c>
      <c r="C18" s="256">
        <f>'Douglas''s History '!$C$149</f>
        <v>3423.6</v>
      </c>
      <c r="D18" s="256">
        <f>'Douglas''s History '!$C$149</f>
        <v>3423.6</v>
      </c>
      <c r="E18" s="256">
        <f>'Douglas''s History '!$C$149</f>
        <v>3423.6</v>
      </c>
      <c r="F18" s="256">
        <f>'Douglas''s History '!$C$149</f>
        <v>3423.6</v>
      </c>
      <c r="G18" s="256">
        <f>'Douglas''s History '!$C$149</f>
        <v>3423.6</v>
      </c>
      <c r="H18" s="256">
        <f>'Douglas''s History '!$C$149</f>
        <v>3423.6</v>
      </c>
      <c r="I18" s="256">
        <f>'Douglas''s History '!$C$149</f>
        <v>3423.6</v>
      </c>
      <c r="J18" s="244"/>
      <c r="K18" s="152"/>
      <c r="L18" s="152"/>
      <c r="M18" s="152"/>
      <c r="N18" s="152"/>
      <c r="O18" s="152"/>
      <c r="P18" s="152"/>
      <c r="Q18" s="152"/>
      <c r="R18" s="152"/>
      <c r="S18" s="152"/>
      <c r="T18" s="152"/>
      <c r="U18" s="152"/>
      <c r="V18" s="152"/>
      <c r="W18" s="152"/>
      <c r="X18" s="152"/>
    </row>
    <row r="19" spans="1:24" x14ac:dyDescent="0.2">
      <c r="A19" s="152"/>
      <c r="B19" s="311" t="s">
        <v>250</v>
      </c>
      <c r="C19" s="312">
        <v>0.3</v>
      </c>
      <c r="D19" s="312">
        <v>0.3</v>
      </c>
      <c r="E19" s="312">
        <v>0.3</v>
      </c>
      <c r="F19" s="312">
        <v>0.3</v>
      </c>
      <c r="G19" s="312">
        <v>0.3</v>
      </c>
      <c r="H19" s="312">
        <v>0.3</v>
      </c>
      <c r="I19" s="312">
        <v>0.3</v>
      </c>
      <c r="J19" s="152"/>
      <c r="K19" s="152"/>
      <c r="L19" s="152"/>
      <c r="M19" s="152"/>
      <c r="N19" s="152"/>
      <c r="O19" s="152"/>
      <c r="P19" s="152"/>
      <c r="Q19" s="152"/>
      <c r="R19" s="152"/>
      <c r="S19" s="152"/>
      <c r="T19" s="152"/>
      <c r="U19" s="152"/>
      <c r="V19" s="152"/>
      <c r="W19" s="152"/>
      <c r="X19" s="152"/>
    </row>
    <row r="20" spans="1:24" x14ac:dyDescent="0.2">
      <c r="A20" s="152"/>
      <c r="B20" s="250" t="s">
        <v>251</v>
      </c>
      <c r="C20" s="313">
        <f>'Douglas''s History '!$C$135</f>
        <v>7.1658754691984988E-2</v>
      </c>
      <c r="D20" s="313">
        <f>'Douglas''s History '!$C$135</f>
        <v>7.1658754691984988E-2</v>
      </c>
      <c r="E20" s="313">
        <f>'Douglas''s History '!$C$135</f>
        <v>7.1658754691984988E-2</v>
      </c>
      <c r="F20" s="313">
        <f>'Douglas''s History '!$C$135</f>
        <v>7.1658754691984988E-2</v>
      </c>
      <c r="G20" s="313">
        <f>'Douglas''s History '!$C$135</f>
        <v>7.1658754691984988E-2</v>
      </c>
      <c r="H20" s="313">
        <f>'Douglas''s History '!$C$135</f>
        <v>7.1658754691984988E-2</v>
      </c>
      <c r="I20" s="313">
        <f>'Douglas''s History '!$C$135</f>
        <v>7.1658754691984988E-2</v>
      </c>
      <c r="J20" s="152"/>
      <c r="K20" s="152"/>
      <c r="L20" s="152"/>
      <c r="M20" s="152"/>
      <c r="N20" s="152"/>
      <c r="O20" s="152"/>
      <c r="P20" s="152"/>
      <c r="Q20" s="152"/>
      <c r="R20" s="152"/>
      <c r="S20" s="152"/>
      <c r="T20" s="152"/>
      <c r="U20" s="152"/>
      <c r="V20" s="152"/>
      <c r="W20" s="152"/>
      <c r="X20" s="152"/>
    </row>
    <row r="21" spans="1:24" x14ac:dyDescent="0.2">
      <c r="A21" s="152"/>
      <c r="B21" s="311" t="s">
        <v>248</v>
      </c>
      <c r="C21" s="314">
        <f>C18*C20*C19</f>
        <v>73.599273769043933</v>
      </c>
      <c r="D21" s="314">
        <f t="shared" ref="D21:I21" si="0">D18*D20*D19</f>
        <v>73.599273769043933</v>
      </c>
      <c r="E21" s="314">
        <f t="shared" si="0"/>
        <v>73.599273769043933</v>
      </c>
      <c r="F21" s="314">
        <f t="shared" si="0"/>
        <v>73.599273769043933</v>
      </c>
      <c r="G21" s="314">
        <f t="shared" si="0"/>
        <v>73.599273769043933</v>
      </c>
      <c r="H21" s="314">
        <f t="shared" si="0"/>
        <v>73.599273769043933</v>
      </c>
      <c r="I21" s="314">
        <f t="shared" si="0"/>
        <v>73.599273769043933</v>
      </c>
      <c r="J21" s="152"/>
      <c r="K21" s="152"/>
      <c r="L21" s="152"/>
      <c r="M21" s="152"/>
      <c r="N21" s="152"/>
      <c r="O21" s="152"/>
      <c r="P21" s="152"/>
      <c r="Q21" s="152"/>
      <c r="R21" s="152"/>
      <c r="S21" s="152"/>
      <c r="T21" s="152"/>
      <c r="U21" s="152"/>
      <c r="V21" s="152"/>
      <c r="W21" s="152"/>
      <c r="X21" s="152"/>
    </row>
    <row r="22" spans="1:24" x14ac:dyDescent="0.2">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row>
    <row r="23" spans="1:24" x14ac:dyDescent="0.2">
      <c r="A23" s="152"/>
      <c r="B23" s="242" t="s">
        <v>249</v>
      </c>
      <c r="C23" s="243">
        <f>C21/(K12-K13)</f>
        <v>981.32365025391914</v>
      </c>
      <c r="D23" s="244"/>
      <c r="E23" s="244"/>
      <c r="F23" s="244"/>
      <c r="G23" s="244"/>
      <c r="H23" s="244"/>
      <c r="I23" s="244"/>
      <c r="J23" s="152"/>
      <c r="K23" s="152"/>
      <c r="L23" s="152"/>
      <c r="M23" s="152"/>
      <c r="N23" s="152"/>
      <c r="O23" s="152"/>
      <c r="P23" s="152"/>
      <c r="Q23" s="152"/>
      <c r="R23" s="152"/>
      <c r="S23" s="152"/>
      <c r="T23" s="152"/>
      <c r="U23" s="152"/>
      <c r="V23" s="152"/>
      <c r="W23" s="152"/>
      <c r="X23" s="152"/>
    </row>
    <row r="24" spans="1:24" ht="16" x14ac:dyDescent="0.2">
      <c r="A24" s="152"/>
      <c r="B24" s="319" t="s">
        <v>253</v>
      </c>
      <c r="C24" s="320">
        <f>C12+C23</f>
        <v>9430.1534357456439</v>
      </c>
      <c r="D24" s="152"/>
      <c r="E24" s="152"/>
      <c r="F24" s="152"/>
      <c r="G24" s="343"/>
      <c r="H24" s="152"/>
      <c r="I24" s="152"/>
      <c r="J24" s="152"/>
      <c r="K24" s="152"/>
      <c r="L24" s="152"/>
      <c r="M24" s="152"/>
      <c r="N24" s="152"/>
      <c r="O24" s="152"/>
      <c r="P24" s="152"/>
      <c r="Q24" s="152"/>
      <c r="R24" s="152"/>
      <c r="S24" s="152"/>
      <c r="T24" s="152"/>
      <c r="U24" s="152"/>
      <c r="V24" s="152"/>
      <c r="W24" s="152"/>
      <c r="X24" s="152"/>
    </row>
    <row r="25" spans="1:24" ht="16" x14ac:dyDescent="0.2">
      <c r="A25" s="152"/>
      <c r="B25" s="152"/>
      <c r="C25" s="152"/>
      <c r="D25" s="152"/>
      <c r="E25" s="152"/>
      <c r="F25" s="152"/>
      <c r="G25" s="343"/>
      <c r="H25" s="152"/>
      <c r="I25" s="152"/>
      <c r="J25" s="152"/>
      <c r="K25" s="152"/>
      <c r="L25" s="152"/>
      <c r="M25" s="152"/>
      <c r="N25" s="152"/>
      <c r="O25" s="152"/>
      <c r="P25" s="152"/>
      <c r="Q25" s="152"/>
      <c r="R25" s="152"/>
      <c r="S25" s="152"/>
      <c r="T25" s="152"/>
      <c r="U25" s="152"/>
      <c r="V25" s="152"/>
      <c r="W25" s="152"/>
      <c r="X25" s="152"/>
    </row>
    <row r="26" spans="1:24" x14ac:dyDescent="0.2">
      <c r="A26" s="152"/>
      <c r="J26" s="152"/>
      <c r="K26" s="152"/>
      <c r="L26" s="152"/>
      <c r="M26" s="152"/>
      <c r="N26" s="152"/>
      <c r="O26" s="152"/>
      <c r="P26" s="152"/>
      <c r="Q26" s="152"/>
      <c r="R26" s="152"/>
      <c r="S26" s="152"/>
      <c r="T26" s="152"/>
      <c r="U26" s="152"/>
      <c r="V26" s="152"/>
      <c r="W26" s="152"/>
      <c r="X26" s="152"/>
    </row>
    <row r="27" spans="1:24" ht="16" x14ac:dyDescent="0.2">
      <c r="A27" s="152"/>
      <c r="B27" s="560" t="s">
        <v>270</v>
      </c>
      <c r="C27" s="561"/>
      <c r="D27" s="561"/>
      <c r="E27" s="561"/>
      <c r="F27" s="561"/>
      <c r="G27" s="561"/>
      <c r="H27" s="561"/>
      <c r="I27" s="562"/>
      <c r="J27" s="152"/>
      <c r="K27" s="152"/>
      <c r="L27" s="152"/>
      <c r="M27" s="152"/>
      <c r="N27" s="152"/>
      <c r="O27" s="152"/>
      <c r="P27" s="152"/>
      <c r="Q27" s="152"/>
      <c r="R27" s="152"/>
      <c r="S27" s="152"/>
      <c r="T27" s="152"/>
      <c r="U27" s="152"/>
      <c r="V27" s="152"/>
      <c r="W27" s="152"/>
      <c r="X27" s="152"/>
    </row>
    <row r="28" spans="1:24" x14ac:dyDescent="0.2">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row>
    <row r="29" spans="1:24" x14ac:dyDescent="0.2">
      <c r="A29" s="152"/>
      <c r="B29" s="236" t="s">
        <v>175</v>
      </c>
      <c r="C29" s="236">
        <f>C18</f>
        <v>3423.6</v>
      </c>
      <c r="D29" s="152"/>
      <c r="E29" s="152"/>
      <c r="F29" s="152"/>
      <c r="G29" s="152"/>
      <c r="H29" s="152"/>
      <c r="I29" s="152"/>
      <c r="J29" s="152"/>
      <c r="K29" s="152"/>
      <c r="L29" s="152"/>
      <c r="M29" s="152"/>
      <c r="N29" s="152"/>
      <c r="O29" s="152"/>
      <c r="P29" s="152"/>
      <c r="Q29" s="152"/>
      <c r="R29" s="152"/>
      <c r="S29" s="152"/>
      <c r="T29" s="152"/>
      <c r="U29" s="152"/>
      <c r="V29" s="152"/>
      <c r="W29" s="152"/>
      <c r="X29" s="152"/>
    </row>
    <row r="30" spans="1:24" x14ac:dyDescent="0.2">
      <c r="A30" s="152"/>
      <c r="B30" s="236" t="s">
        <v>222</v>
      </c>
      <c r="C30" s="251">
        <v>107.69</v>
      </c>
      <c r="D30" s="152"/>
      <c r="E30" s="152"/>
      <c r="F30" s="152"/>
      <c r="G30" s="152"/>
      <c r="H30" s="152"/>
      <c r="I30" s="152"/>
      <c r="J30" s="152"/>
      <c r="K30" s="152"/>
      <c r="L30" s="152"/>
      <c r="M30" s="152"/>
      <c r="N30" s="152"/>
      <c r="O30" s="152"/>
      <c r="P30" s="152"/>
      <c r="Q30" s="152"/>
      <c r="R30" s="152"/>
      <c r="S30" s="152"/>
      <c r="T30" s="152"/>
      <c r="U30" s="152"/>
      <c r="V30" s="152"/>
      <c r="W30" s="152"/>
      <c r="X30" s="152"/>
    </row>
    <row r="31" spans="1:24" ht="16.5" customHeight="1" x14ac:dyDescent="0.2">
      <c r="A31" s="152"/>
      <c r="B31" s="393" t="s">
        <v>256</v>
      </c>
      <c r="C31" s="394">
        <f>(C24-C29)/C30</f>
        <v>55.77633425337212</v>
      </c>
      <c r="D31" s="152"/>
      <c r="F31" s="152"/>
      <c r="G31" s="152"/>
      <c r="H31" s="152"/>
      <c r="I31" s="152"/>
      <c r="J31" s="152"/>
      <c r="K31" s="152"/>
      <c r="L31" s="152"/>
      <c r="M31" s="152"/>
      <c r="N31" s="152"/>
      <c r="O31" s="152"/>
      <c r="P31" s="152"/>
      <c r="Q31" s="152"/>
      <c r="R31" s="152"/>
      <c r="S31" s="152"/>
      <c r="T31" s="152"/>
      <c r="U31" s="152"/>
      <c r="V31" s="152"/>
      <c r="W31" s="152"/>
      <c r="X31" s="152"/>
    </row>
    <row r="32" spans="1:24" ht="16" thickBot="1" x14ac:dyDescent="0.25">
      <c r="A32" s="152"/>
      <c r="B32" s="152"/>
      <c r="C32" s="152"/>
      <c r="D32" s="235"/>
      <c r="E32" s="152"/>
      <c r="F32" s="152"/>
      <c r="G32" s="152"/>
      <c r="H32" s="152"/>
      <c r="I32" s="152"/>
      <c r="J32" s="152"/>
      <c r="K32" s="152"/>
      <c r="L32" s="152"/>
      <c r="M32" s="152"/>
      <c r="N32" s="152"/>
      <c r="O32" s="152"/>
      <c r="P32" s="152"/>
      <c r="Q32" s="152"/>
      <c r="R32" s="152"/>
      <c r="S32" s="152"/>
      <c r="T32" s="152"/>
      <c r="U32" s="152"/>
      <c r="V32" s="152"/>
      <c r="W32" s="152"/>
      <c r="X32" s="152"/>
    </row>
    <row r="33" spans="2:12" ht="21" customHeight="1" x14ac:dyDescent="0.2">
      <c r="B33" s="152"/>
      <c r="C33" s="152"/>
      <c r="D33" s="244"/>
      <c r="E33" s="545" t="s">
        <v>343</v>
      </c>
      <c r="F33" s="546"/>
      <c r="G33" s="546"/>
      <c r="H33" s="547"/>
      <c r="I33" s="152"/>
      <c r="J33" s="152"/>
      <c r="K33" s="152"/>
      <c r="L33" s="152"/>
    </row>
    <row r="34" spans="2:12" x14ac:dyDescent="0.2">
      <c r="B34" s="152"/>
      <c r="C34" s="244"/>
      <c r="D34" s="152"/>
      <c r="E34" s="548"/>
      <c r="F34" s="424"/>
      <c r="G34" s="424"/>
      <c r="H34" s="549"/>
      <c r="I34" s="152"/>
      <c r="J34" s="152"/>
      <c r="K34" s="152"/>
      <c r="L34" s="152"/>
    </row>
    <row r="35" spans="2:12" x14ac:dyDescent="0.2">
      <c r="C35" s="148"/>
      <c r="E35" s="548"/>
      <c r="F35" s="424"/>
      <c r="G35" s="424"/>
      <c r="H35" s="549"/>
    </row>
    <row r="36" spans="2:12" x14ac:dyDescent="0.2">
      <c r="E36" s="548"/>
      <c r="F36" s="424"/>
      <c r="G36" s="424"/>
      <c r="H36" s="549"/>
    </row>
    <row r="37" spans="2:12" ht="16" thickBot="1" x14ac:dyDescent="0.25">
      <c r="C37" s="148"/>
      <c r="E37" s="550"/>
      <c r="F37" s="551"/>
      <c r="G37" s="551"/>
      <c r="H37" s="552"/>
    </row>
  </sheetData>
  <mergeCells count="5">
    <mergeCell ref="E33:H37"/>
    <mergeCell ref="B2:I3"/>
    <mergeCell ref="B5:I5"/>
    <mergeCell ref="B15:I15"/>
    <mergeCell ref="B27:I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91411-B274-4249-AACA-D74AD4FDB831}">
  <dimension ref="B2:T41"/>
  <sheetViews>
    <sheetView zoomScale="147" zoomScaleNormal="147" workbookViewId="0">
      <selection activeCell="C2" sqref="C2:J4"/>
    </sheetView>
  </sheetViews>
  <sheetFormatPr baseColWidth="10" defaultRowHeight="15" x14ac:dyDescent="0.2"/>
  <cols>
    <col min="3" max="3" width="26.6640625" customWidth="1"/>
    <col min="4" max="4" width="11.6640625" customWidth="1"/>
  </cols>
  <sheetData>
    <row r="2" spans="2:20" x14ac:dyDescent="0.2">
      <c r="C2" s="542" t="s">
        <v>271</v>
      </c>
      <c r="D2" s="542"/>
      <c r="E2" s="542"/>
      <c r="F2" s="542"/>
      <c r="G2" s="542"/>
      <c r="H2" s="542"/>
      <c r="I2" s="542"/>
      <c r="J2" s="542"/>
    </row>
    <row r="3" spans="2:20" x14ac:dyDescent="0.2">
      <c r="C3" s="542"/>
      <c r="D3" s="542"/>
      <c r="E3" s="542"/>
      <c r="F3" s="542"/>
      <c r="G3" s="542"/>
      <c r="H3" s="542"/>
      <c r="I3" s="542"/>
      <c r="J3" s="542"/>
    </row>
    <row r="4" spans="2:20" x14ac:dyDescent="0.2">
      <c r="B4" s="152"/>
      <c r="C4" s="542"/>
      <c r="D4" s="542"/>
      <c r="E4" s="542"/>
      <c r="F4" s="542"/>
      <c r="G4" s="542"/>
      <c r="H4" s="542"/>
      <c r="I4" s="542"/>
      <c r="J4" s="542"/>
      <c r="T4" s="152"/>
    </row>
    <row r="5" spans="2:20" x14ac:dyDescent="0.2">
      <c r="B5" s="152"/>
      <c r="T5" s="152"/>
    </row>
    <row r="6" spans="2:20" ht="13" customHeight="1" x14ac:dyDescent="0.2">
      <c r="B6" s="152"/>
      <c r="C6" s="563" t="s">
        <v>257</v>
      </c>
      <c r="D6" s="564"/>
      <c r="E6" s="564"/>
      <c r="F6" s="564"/>
      <c r="G6" s="564"/>
      <c r="H6" s="564"/>
      <c r="I6" s="564"/>
      <c r="J6" s="565"/>
      <c r="T6" s="152"/>
    </row>
    <row r="7" spans="2:20" ht="17" customHeight="1" x14ac:dyDescent="0.2">
      <c r="B7" s="152"/>
      <c r="C7" s="566"/>
      <c r="D7" s="567"/>
      <c r="E7" s="567"/>
      <c r="F7" s="567"/>
      <c r="G7" s="567"/>
      <c r="H7" s="567"/>
      <c r="I7" s="567"/>
      <c r="J7" s="568"/>
      <c r="K7" s="152"/>
      <c r="L7" s="152"/>
      <c r="M7" s="152"/>
      <c r="N7" s="152"/>
      <c r="O7" s="152"/>
      <c r="P7" s="152"/>
      <c r="Q7" s="152"/>
      <c r="R7" s="152"/>
      <c r="S7" s="152"/>
      <c r="T7" s="152"/>
    </row>
    <row r="8" spans="2:20" ht="16" customHeight="1" x14ac:dyDescent="0.2">
      <c r="B8" s="152"/>
      <c r="C8" s="398" t="s">
        <v>329</v>
      </c>
      <c r="K8" s="152"/>
      <c r="L8" s="152"/>
      <c r="M8" s="152"/>
      <c r="N8" s="152"/>
      <c r="O8" s="152"/>
      <c r="P8" s="152"/>
      <c r="Q8" s="152"/>
      <c r="R8" s="152"/>
      <c r="S8" s="152"/>
      <c r="T8" s="152"/>
    </row>
    <row r="9" spans="2:20" x14ac:dyDescent="0.2">
      <c r="B9" s="152"/>
      <c r="N9" s="152"/>
      <c r="O9" s="152"/>
      <c r="P9" s="152"/>
      <c r="Q9" s="152"/>
      <c r="R9" s="152"/>
      <c r="S9" s="152"/>
      <c r="T9" s="152"/>
    </row>
    <row r="10" spans="2:20" ht="16" x14ac:dyDescent="0.2">
      <c r="B10" s="152"/>
      <c r="C10" s="560" t="s">
        <v>268</v>
      </c>
      <c r="D10" s="561"/>
      <c r="E10" s="561"/>
      <c r="F10" s="561"/>
      <c r="G10" s="561"/>
      <c r="H10" s="561"/>
      <c r="I10" s="561"/>
      <c r="J10" s="562"/>
      <c r="N10" s="152"/>
      <c r="O10" s="152"/>
      <c r="P10" s="152"/>
      <c r="Q10" s="152"/>
      <c r="R10" s="152"/>
      <c r="S10" s="152"/>
      <c r="T10" s="152"/>
    </row>
    <row r="11" spans="2:20" x14ac:dyDescent="0.2">
      <c r="B11" s="152"/>
      <c r="N11" s="152"/>
      <c r="O11" s="152"/>
      <c r="P11" s="152"/>
      <c r="Q11" s="152"/>
      <c r="R11" s="152"/>
      <c r="S11" s="152"/>
      <c r="T11" s="152"/>
    </row>
    <row r="12" spans="2:20" x14ac:dyDescent="0.2">
      <c r="B12" s="152"/>
      <c r="C12" s="152" t="s">
        <v>252</v>
      </c>
      <c r="D12" s="316">
        <v>2023</v>
      </c>
      <c r="E12" s="247">
        <v>2024</v>
      </c>
      <c r="F12" s="236">
        <v>2025</v>
      </c>
      <c r="G12" s="236">
        <v>2026</v>
      </c>
      <c r="H12" s="236">
        <v>2027</v>
      </c>
      <c r="I12" s="236">
        <v>2028</v>
      </c>
      <c r="J12" s="237">
        <v>2029</v>
      </c>
      <c r="K12" s="152"/>
      <c r="L12" s="152"/>
      <c r="M12" s="152"/>
      <c r="N12" s="152"/>
      <c r="O12" s="152"/>
      <c r="P12" s="152"/>
      <c r="Q12" s="152"/>
      <c r="R12" s="152"/>
      <c r="S12" s="152"/>
      <c r="T12" s="152"/>
    </row>
    <row r="13" spans="2:20" x14ac:dyDescent="0.2">
      <c r="B13" s="152"/>
      <c r="C13" s="256" t="s">
        <v>243</v>
      </c>
      <c r="D13" s="256"/>
      <c r="E13" s="317">
        <f>DCF!D22</f>
        <v>528.24970604999999</v>
      </c>
      <c r="F13" s="317">
        <f>DCF!E22</f>
        <v>562.93609316774985</v>
      </c>
      <c r="G13" s="317">
        <f>DCF!F22</f>
        <v>613.63561551916212</v>
      </c>
      <c r="H13" s="317">
        <f>DCF!G22</f>
        <v>656.36964298764224</v>
      </c>
      <c r="I13" s="317">
        <f>DCF!H22</f>
        <v>691.1781756733867</v>
      </c>
      <c r="J13" s="317">
        <f>DCF!I22</f>
        <v>724.22000916715854</v>
      </c>
      <c r="K13" s="318" t="s">
        <v>247</v>
      </c>
      <c r="L13" s="152"/>
      <c r="M13" s="152"/>
      <c r="N13" s="152"/>
      <c r="O13" s="152"/>
      <c r="P13" s="152"/>
      <c r="Q13" s="152"/>
      <c r="R13" s="152"/>
      <c r="S13" s="152"/>
      <c r="T13" s="152"/>
    </row>
    <row r="14" spans="2:20" x14ac:dyDescent="0.2">
      <c r="B14" s="152"/>
      <c r="C14" s="256" t="s">
        <v>244</v>
      </c>
      <c r="D14" s="256"/>
      <c r="E14" s="314">
        <f>E13/(1+$L$17)</f>
        <v>472.07301702412866</v>
      </c>
      <c r="F14" s="314">
        <f>F13/(1+$L$17)^2</f>
        <v>449.5716550569374</v>
      </c>
      <c r="G14" s="314">
        <f>G13/(1+$L$17)^3</f>
        <v>437.94573233601585</v>
      </c>
      <c r="H14" s="314">
        <f>H13/(1+$L$17)^4</f>
        <v>418.62787260594888</v>
      </c>
      <c r="I14" s="314">
        <f>I13/(1+$L$17)^5</f>
        <v>393.94862043053223</v>
      </c>
      <c r="J14" s="314">
        <f>J13/(1+$L$17)^6</f>
        <v>368.88415450174074</v>
      </c>
      <c r="K14" s="241">
        <f>(J13*(1+L18))/(L17-L18)</f>
        <v>7461.6607005101177</v>
      </c>
      <c r="L14" s="152"/>
      <c r="M14" s="152"/>
      <c r="N14" s="152"/>
      <c r="O14" s="152"/>
      <c r="P14" s="152"/>
      <c r="Q14" s="152"/>
      <c r="R14" s="152"/>
      <c r="S14" s="152"/>
      <c r="T14" s="152"/>
    </row>
    <row r="15" spans="2:20" x14ac:dyDescent="0.2">
      <c r="B15" s="152"/>
      <c r="C15" s="248" t="s">
        <v>245</v>
      </c>
      <c r="D15" s="249">
        <f>K14/(1+L17)^6</f>
        <v>3800.6246221391466</v>
      </c>
      <c r="E15" s="152"/>
      <c r="F15" s="152"/>
      <c r="G15" s="152"/>
      <c r="H15" s="152"/>
      <c r="I15" s="152"/>
      <c r="J15" s="152"/>
      <c r="K15" s="152"/>
      <c r="L15" s="152"/>
      <c r="M15" s="152"/>
      <c r="N15" s="152"/>
      <c r="O15" s="152"/>
      <c r="P15" s="152"/>
      <c r="Q15" s="152"/>
      <c r="R15" s="152"/>
      <c r="S15" s="152"/>
      <c r="T15" s="152"/>
    </row>
    <row r="16" spans="2:20" x14ac:dyDescent="0.2">
      <c r="B16" s="152"/>
      <c r="E16" s="244"/>
      <c r="F16" s="152"/>
      <c r="G16" s="152"/>
      <c r="H16" s="152"/>
      <c r="I16" s="152"/>
      <c r="J16" s="152"/>
      <c r="K16" s="152"/>
      <c r="L16" s="152"/>
      <c r="M16" s="152"/>
      <c r="N16" s="152"/>
      <c r="O16" s="152"/>
      <c r="P16" s="152"/>
      <c r="Q16" s="152"/>
      <c r="R16" s="152"/>
      <c r="S16" s="152"/>
      <c r="T16" s="152"/>
    </row>
    <row r="17" spans="2:20" x14ac:dyDescent="0.2">
      <c r="B17" s="152"/>
      <c r="C17" s="319" t="s">
        <v>254</v>
      </c>
      <c r="D17" s="320">
        <f>E14+F14+G14+H14+I14+J14+D15</f>
        <v>6341.6756740944511</v>
      </c>
      <c r="E17" s="244"/>
      <c r="F17" s="152"/>
      <c r="G17" s="152"/>
      <c r="H17" s="152"/>
      <c r="I17" s="152"/>
      <c r="J17" s="152"/>
      <c r="K17" s="245" t="s">
        <v>246</v>
      </c>
      <c r="L17" s="246">
        <f>'Beta &amp; WACC Estimation'!C41+'Beta &amp; WACC Estimation'!C59*'Beta &amp; WACC Estimation'!C42</f>
        <v>0.11900000000000001</v>
      </c>
      <c r="M17" s="152"/>
      <c r="N17" s="152"/>
      <c r="O17" s="152"/>
      <c r="P17" s="152"/>
      <c r="Q17" s="152"/>
      <c r="R17" s="152"/>
      <c r="S17" s="152"/>
      <c r="T17" s="152"/>
    </row>
    <row r="18" spans="2:20" x14ac:dyDescent="0.2">
      <c r="B18" s="152"/>
      <c r="C18" s="152"/>
      <c r="D18" s="152"/>
      <c r="E18" s="244"/>
      <c r="F18" s="152"/>
      <c r="G18" s="152"/>
      <c r="H18" s="152"/>
      <c r="I18" s="152"/>
      <c r="J18" s="152"/>
      <c r="K18" s="245" t="s">
        <v>258</v>
      </c>
      <c r="L18" s="246">
        <f>2%</f>
        <v>0.02</v>
      </c>
      <c r="M18" s="152"/>
      <c r="N18" s="152"/>
      <c r="O18" s="152"/>
      <c r="P18" s="152"/>
      <c r="Q18" s="152"/>
      <c r="R18" s="152"/>
      <c r="S18" s="152"/>
      <c r="T18" s="152"/>
    </row>
    <row r="19" spans="2:20" x14ac:dyDescent="0.2">
      <c r="B19" s="152"/>
      <c r="K19" s="152"/>
      <c r="L19" s="152"/>
      <c r="M19" s="152"/>
      <c r="N19" s="152"/>
      <c r="O19" s="152"/>
      <c r="P19" s="152"/>
      <c r="Q19" s="152"/>
      <c r="R19" s="152"/>
      <c r="S19" s="152"/>
      <c r="T19" s="152"/>
    </row>
    <row r="20" spans="2:20" ht="16" x14ac:dyDescent="0.2">
      <c r="B20" s="152"/>
      <c r="C20" s="560" t="s">
        <v>269</v>
      </c>
      <c r="D20" s="561"/>
      <c r="E20" s="561"/>
      <c r="F20" s="561"/>
      <c r="G20" s="561"/>
      <c r="H20" s="561"/>
      <c r="I20" s="561"/>
      <c r="J20" s="562"/>
      <c r="K20" s="152"/>
      <c r="L20" s="152"/>
      <c r="M20" s="152"/>
      <c r="N20" s="152"/>
      <c r="O20" s="152"/>
      <c r="P20" s="152"/>
      <c r="Q20" s="152"/>
      <c r="R20" s="152"/>
      <c r="S20" s="152"/>
      <c r="T20" s="152"/>
    </row>
    <row r="21" spans="2:20" x14ac:dyDescent="0.2">
      <c r="B21" s="152"/>
      <c r="C21" s="152"/>
      <c r="D21" s="152"/>
      <c r="E21" s="152"/>
      <c r="F21" s="152"/>
      <c r="G21" s="152"/>
      <c r="H21" s="152"/>
      <c r="I21" s="152"/>
      <c r="J21" s="152"/>
      <c r="K21" s="151"/>
      <c r="L21" s="152"/>
      <c r="M21" s="152"/>
      <c r="N21" s="152"/>
      <c r="O21" s="152"/>
      <c r="P21" s="152"/>
      <c r="Q21" s="152"/>
      <c r="R21" s="152"/>
      <c r="S21" s="152"/>
      <c r="T21" s="152"/>
    </row>
    <row r="22" spans="2:20" x14ac:dyDescent="0.2">
      <c r="B22" s="152"/>
      <c r="C22" s="152" t="s">
        <v>252</v>
      </c>
      <c r="D22" s="256">
        <v>2023</v>
      </c>
      <c r="E22" s="256">
        <v>2024</v>
      </c>
      <c r="F22" s="256">
        <v>2025</v>
      </c>
      <c r="G22" s="256">
        <v>2026</v>
      </c>
      <c r="H22" s="256">
        <v>2027</v>
      </c>
      <c r="I22" s="256">
        <v>2028</v>
      </c>
      <c r="J22" s="256">
        <v>2029</v>
      </c>
      <c r="K22" s="244"/>
      <c r="L22" s="152"/>
      <c r="M22" s="152"/>
      <c r="N22" s="152"/>
      <c r="O22" s="152"/>
      <c r="P22" s="152"/>
      <c r="Q22" s="152"/>
      <c r="R22" s="152"/>
      <c r="S22" s="152"/>
      <c r="T22" s="152"/>
    </row>
    <row r="23" spans="2:20" x14ac:dyDescent="0.2">
      <c r="B23" s="152"/>
      <c r="C23" s="310" t="s">
        <v>175</v>
      </c>
      <c r="D23" s="256">
        <f>'Douglas''s History '!$C$149</f>
        <v>3423.6</v>
      </c>
      <c r="E23" s="256">
        <f>'Douglas''s History '!$C$149</f>
        <v>3423.6</v>
      </c>
      <c r="F23" s="256">
        <f>'Douglas''s History '!$C$149</f>
        <v>3423.6</v>
      </c>
      <c r="G23" s="256">
        <f>'Douglas''s History '!$C$149</f>
        <v>3423.6</v>
      </c>
      <c r="H23" s="256">
        <f>'Douglas''s History '!$C$149</f>
        <v>3423.6</v>
      </c>
      <c r="I23" s="256">
        <f>'Douglas''s History '!$C$149</f>
        <v>3423.6</v>
      </c>
      <c r="J23" s="256">
        <f>'Douglas''s History '!$C$149</f>
        <v>3423.6</v>
      </c>
      <c r="K23" s="244"/>
      <c r="L23" s="152"/>
      <c r="M23" s="152"/>
      <c r="N23" s="152"/>
      <c r="O23" s="152"/>
      <c r="P23" s="152"/>
      <c r="Q23" s="152"/>
      <c r="R23" s="152"/>
      <c r="S23" s="152"/>
      <c r="T23" s="152"/>
    </row>
    <row r="24" spans="2:20" x14ac:dyDescent="0.2">
      <c r="B24" s="152"/>
      <c r="C24" s="311" t="s">
        <v>250</v>
      </c>
      <c r="D24" s="312">
        <v>0.3</v>
      </c>
      <c r="E24" s="312">
        <v>0.3</v>
      </c>
      <c r="F24" s="312">
        <v>0.3</v>
      </c>
      <c r="G24" s="312">
        <v>0.3</v>
      </c>
      <c r="H24" s="312">
        <v>0.3</v>
      </c>
      <c r="I24" s="312">
        <v>0.3</v>
      </c>
      <c r="J24" s="312">
        <v>0.3</v>
      </c>
      <c r="K24" s="152"/>
      <c r="L24" s="152"/>
      <c r="M24" s="152"/>
      <c r="N24" s="152"/>
      <c r="O24" s="152"/>
      <c r="P24" s="152"/>
      <c r="Q24" s="152"/>
      <c r="R24" s="152"/>
      <c r="S24" s="152"/>
      <c r="T24" s="152"/>
    </row>
    <row r="25" spans="2:20" x14ac:dyDescent="0.2">
      <c r="B25" s="152"/>
      <c r="C25" s="250" t="s">
        <v>251</v>
      </c>
      <c r="D25" s="313">
        <f>'Douglas''s History '!$C$135</f>
        <v>7.1658754691984988E-2</v>
      </c>
      <c r="E25" s="313">
        <f>'Douglas''s History '!$C$135</f>
        <v>7.1658754691984988E-2</v>
      </c>
      <c r="F25" s="313">
        <f>'Douglas''s History '!$C$135</f>
        <v>7.1658754691984988E-2</v>
      </c>
      <c r="G25" s="313">
        <f>'Douglas''s History '!$C$135</f>
        <v>7.1658754691984988E-2</v>
      </c>
      <c r="H25" s="313">
        <f>'Douglas''s History '!$C$135</f>
        <v>7.1658754691984988E-2</v>
      </c>
      <c r="I25" s="313">
        <f>'Douglas''s History '!$C$135</f>
        <v>7.1658754691984988E-2</v>
      </c>
      <c r="J25" s="313">
        <f>'Douglas''s History '!$C$135</f>
        <v>7.1658754691984988E-2</v>
      </c>
      <c r="K25" s="152"/>
      <c r="L25" s="152"/>
      <c r="M25" s="152"/>
      <c r="N25" s="152"/>
      <c r="O25" s="152"/>
      <c r="P25" s="152"/>
      <c r="Q25" s="152"/>
      <c r="R25" s="152"/>
      <c r="S25" s="152"/>
      <c r="T25" s="152"/>
    </row>
    <row r="26" spans="2:20" x14ac:dyDescent="0.2">
      <c r="B26" s="152"/>
      <c r="C26" s="311" t="s">
        <v>248</v>
      </c>
      <c r="D26" s="314">
        <f>D23*D25*D24</f>
        <v>73.599273769043933</v>
      </c>
      <c r="E26" s="314">
        <f t="shared" ref="E26:J26" si="0">E23*E25*E24</f>
        <v>73.599273769043933</v>
      </c>
      <c r="F26" s="314">
        <f t="shared" si="0"/>
        <v>73.599273769043933</v>
      </c>
      <c r="G26" s="314">
        <f t="shared" si="0"/>
        <v>73.599273769043933</v>
      </c>
      <c r="H26" s="314">
        <f t="shared" si="0"/>
        <v>73.599273769043933</v>
      </c>
      <c r="I26" s="314">
        <f t="shared" si="0"/>
        <v>73.599273769043933</v>
      </c>
      <c r="J26" s="314">
        <f t="shared" si="0"/>
        <v>73.599273769043933</v>
      </c>
      <c r="K26" s="152"/>
      <c r="L26" s="152"/>
      <c r="M26" s="152"/>
      <c r="N26" s="152"/>
      <c r="O26" s="152"/>
      <c r="P26" s="152"/>
      <c r="Q26" s="152"/>
      <c r="R26" s="152"/>
      <c r="S26" s="152"/>
      <c r="T26" s="152"/>
    </row>
    <row r="27" spans="2:20" x14ac:dyDescent="0.2">
      <c r="B27" s="152"/>
      <c r="C27" s="152"/>
      <c r="D27" s="152"/>
      <c r="E27" s="152"/>
      <c r="F27" s="152"/>
      <c r="G27" s="152"/>
      <c r="H27" s="152"/>
      <c r="I27" s="152"/>
      <c r="J27" s="152"/>
      <c r="K27" s="152"/>
      <c r="L27" s="152"/>
      <c r="M27" s="152"/>
      <c r="N27" s="152"/>
      <c r="O27" s="152"/>
      <c r="P27" s="152"/>
      <c r="Q27" s="152"/>
      <c r="R27" s="152"/>
      <c r="S27" s="152"/>
      <c r="T27" s="152"/>
    </row>
    <row r="28" spans="2:20" x14ac:dyDescent="0.2">
      <c r="B28" s="152"/>
      <c r="C28" s="242" t="s">
        <v>249</v>
      </c>
      <c r="D28" s="243">
        <f>D26/(L17-L18)</f>
        <v>743.42700776812046</v>
      </c>
      <c r="E28" s="244"/>
      <c r="F28" s="244"/>
      <c r="G28" s="244"/>
      <c r="H28" s="244"/>
      <c r="I28" s="244"/>
      <c r="J28" s="244"/>
      <c r="K28" s="152"/>
      <c r="L28" s="152"/>
      <c r="M28" s="152"/>
      <c r="N28" s="152"/>
      <c r="O28" s="152"/>
      <c r="P28" s="152"/>
      <c r="Q28" s="152"/>
      <c r="R28" s="152"/>
      <c r="S28" s="152"/>
      <c r="T28" s="152"/>
    </row>
    <row r="29" spans="2:20" x14ac:dyDescent="0.2">
      <c r="B29" s="152"/>
      <c r="C29" s="319" t="s">
        <v>253</v>
      </c>
      <c r="D29" s="320">
        <f>D17+D28</f>
        <v>7085.1026818625714</v>
      </c>
      <c r="E29" s="152"/>
      <c r="F29" s="152"/>
      <c r="G29" s="152"/>
      <c r="H29" s="152"/>
      <c r="I29" s="152"/>
      <c r="J29" s="152"/>
      <c r="K29" s="152"/>
      <c r="L29" s="152"/>
      <c r="M29" s="152"/>
      <c r="N29" s="152"/>
      <c r="O29" s="152"/>
      <c r="P29" s="152"/>
      <c r="Q29" s="152"/>
      <c r="R29" s="152"/>
      <c r="S29" s="152"/>
      <c r="T29" s="152"/>
    </row>
    <row r="30" spans="2:20" x14ac:dyDescent="0.2">
      <c r="B30" s="152"/>
      <c r="C30" s="152"/>
      <c r="D30" s="152"/>
      <c r="E30" s="152"/>
      <c r="F30" s="152"/>
      <c r="G30" s="152"/>
      <c r="H30" s="152"/>
      <c r="I30" s="152"/>
      <c r="J30" s="152"/>
      <c r="K30" s="152"/>
      <c r="L30" s="152"/>
      <c r="M30" s="152"/>
      <c r="N30" s="152"/>
      <c r="O30" s="152"/>
      <c r="P30" s="152"/>
      <c r="Q30" s="152"/>
      <c r="R30" s="152"/>
      <c r="S30" s="152"/>
      <c r="T30" s="152"/>
    </row>
    <row r="31" spans="2:20" x14ac:dyDescent="0.2">
      <c r="B31" s="152"/>
      <c r="K31" s="152"/>
      <c r="L31" s="152"/>
      <c r="M31" s="152"/>
      <c r="N31" s="152"/>
      <c r="O31" s="152"/>
      <c r="P31" s="152"/>
      <c r="Q31" s="152"/>
      <c r="R31" s="152"/>
      <c r="S31" s="152"/>
      <c r="T31" s="152"/>
    </row>
    <row r="32" spans="2:20" ht="16" x14ac:dyDescent="0.2">
      <c r="B32" s="152"/>
      <c r="C32" s="560" t="s">
        <v>270</v>
      </c>
      <c r="D32" s="561"/>
      <c r="E32" s="561"/>
      <c r="F32" s="561"/>
      <c r="G32" s="561"/>
      <c r="H32" s="561"/>
      <c r="I32" s="561"/>
      <c r="J32" s="562"/>
      <c r="K32" s="152"/>
      <c r="L32" s="152"/>
      <c r="M32" s="152"/>
      <c r="N32" s="152"/>
      <c r="O32" s="152"/>
      <c r="P32" s="152"/>
      <c r="Q32" s="152"/>
      <c r="R32" s="152"/>
      <c r="S32" s="152"/>
      <c r="T32" s="152"/>
    </row>
    <row r="33" spans="2:20" x14ac:dyDescent="0.2">
      <c r="B33" s="152"/>
      <c r="C33" s="152"/>
      <c r="D33" s="152"/>
      <c r="E33" s="152"/>
      <c r="F33" s="152"/>
      <c r="G33" s="152"/>
      <c r="H33" s="152"/>
      <c r="I33" s="152"/>
      <c r="J33" s="152"/>
      <c r="K33" s="152"/>
      <c r="L33" s="152"/>
      <c r="M33" s="152"/>
      <c r="N33" s="152"/>
      <c r="O33" s="152"/>
      <c r="P33" s="152"/>
      <c r="Q33" s="152"/>
      <c r="R33" s="152"/>
      <c r="S33" s="152"/>
      <c r="T33" s="152"/>
    </row>
    <row r="34" spans="2:20" ht="16" thickBot="1" x14ac:dyDescent="0.25">
      <c r="B34" s="152"/>
      <c r="C34" s="236" t="s">
        <v>175</v>
      </c>
      <c r="D34" s="236">
        <f>D23</f>
        <v>3423.6</v>
      </c>
      <c r="E34" s="152"/>
      <c r="F34" s="152"/>
      <c r="G34" s="152"/>
      <c r="H34" s="152"/>
      <c r="I34" s="152"/>
      <c r="J34" s="152"/>
      <c r="K34" s="152"/>
      <c r="L34" s="152"/>
      <c r="M34" s="152"/>
      <c r="N34" s="152"/>
      <c r="O34" s="152"/>
      <c r="P34" s="152"/>
      <c r="Q34" s="152"/>
      <c r="R34" s="152"/>
      <c r="S34" s="152"/>
      <c r="T34" s="152"/>
    </row>
    <row r="35" spans="2:20" ht="15" customHeight="1" x14ac:dyDescent="0.2">
      <c r="C35" s="236" t="s">
        <v>222</v>
      </c>
      <c r="D35" s="251">
        <v>107.69</v>
      </c>
      <c r="E35" s="152"/>
      <c r="F35" s="545" t="s">
        <v>342</v>
      </c>
      <c r="G35" s="546"/>
      <c r="H35" s="546"/>
      <c r="I35" s="546"/>
      <c r="J35" s="546"/>
      <c r="K35" s="546"/>
      <c r="L35" s="546"/>
      <c r="M35" s="547"/>
      <c r="N35" s="152"/>
      <c r="O35" s="152"/>
      <c r="P35" s="152"/>
      <c r="Q35" s="152"/>
      <c r="R35" s="152"/>
      <c r="S35" s="152"/>
    </row>
    <row r="36" spans="2:20" ht="15" customHeight="1" x14ac:dyDescent="0.2">
      <c r="C36" s="252" t="s">
        <v>256</v>
      </c>
      <c r="D36" s="307">
        <f>(D29-D34)/D35</f>
        <v>34.000396340074026</v>
      </c>
      <c r="E36" s="152"/>
      <c r="F36" s="548"/>
      <c r="G36" s="424"/>
      <c r="H36" s="424"/>
      <c r="I36" s="424"/>
      <c r="J36" s="424"/>
      <c r="K36" s="424"/>
      <c r="L36" s="424"/>
      <c r="M36" s="549"/>
      <c r="N36" s="152"/>
      <c r="O36" s="152"/>
      <c r="P36" s="152"/>
      <c r="Q36" s="152"/>
      <c r="R36" s="152"/>
      <c r="S36" s="152"/>
    </row>
    <row r="37" spans="2:20" x14ac:dyDescent="0.2">
      <c r="C37" s="152"/>
      <c r="D37" s="152"/>
      <c r="E37" s="158"/>
      <c r="F37" s="548"/>
      <c r="G37" s="424"/>
      <c r="H37" s="424"/>
      <c r="I37" s="424"/>
      <c r="J37" s="424"/>
      <c r="K37" s="424"/>
      <c r="L37" s="424"/>
      <c r="M37" s="549"/>
      <c r="N37" s="152"/>
      <c r="O37" s="152"/>
      <c r="P37" s="152"/>
      <c r="Q37" s="152"/>
      <c r="R37" s="152"/>
      <c r="S37" s="152"/>
    </row>
    <row r="38" spans="2:20" x14ac:dyDescent="0.2">
      <c r="C38" s="152"/>
      <c r="D38" s="152"/>
      <c r="E38" s="244"/>
      <c r="F38" s="548"/>
      <c r="G38" s="424"/>
      <c r="H38" s="424"/>
      <c r="I38" s="424"/>
      <c r="J38" s="424"/>
      <c r="K38" s="424"/>
      <c r="L38" s="424"/>
      <c r="M38" s="549"/>
    </row>
    <row r="39" spans="2:20" x14ac:dyDescent="0.2">
      <c r="C39" s="152"/>
      <c r="D39" s="244"/>
      <c r="E39" s="152"/>
      <c r="F39" s="548"/>
      <c r="G39" s="424"/>
      <c r="H39" s="424"/>
      <c r="I39" s="424"/>
      <c r="J39" s="424"/>
      <c r="K39" s="424"/>
      <c r="L39" s="424"/>
      <c r="M39" s="549"/>
    </row>
    <row r="40" spans="2:20" x14ac:dyDescent="0.2">
      <c r="D40" s="148"/>
      <c r="F40" s="548"/>
      <c r="G40" s="424"/>
      <c r="H40" s="424"/>
      <c r="I40" s="424"/>
      <c r="J40" s="424"/>
      <c r="K40" s="424"/>
      <c r="L40" s="424"/>
      <c r="M40" s="549"/>
    </row>
    <row r="41" spans="2:20" ht="16" thickBot="1" x14ac:dyDescent="0.25">
      <c r="F41" s="550"/>
      <c r="G41" s="551"/>
      <c r="H41" s="551"/>
      <c r="I41" s="551"/>
      <c r="J41" s="551"/>
      <c r="K41" s="551"/>
      <c r="L41" s="551"/>
      <c r="M41" s="552"/>
    </row>
  </sheetData>
  <mergeCells count="6">
    <mergeCell ref="C32:J32"/>
    <mergeCell ref="C6:J7"/>
    <mergeCell ref="F35:M41"/>
    <mergeCell ref="C2:J4"/>
    <mergeCell ref="C10:J10"/>
    <mergeCell ref="C20:J2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56310-4CD3-0145-A0A1-7E3DDB1DD70E}">
  <dimension ref="B1:W49"/>
  <sheetViews>
    <sheetView zoomScale="109" workbookViewId="0">
      <selection activeCell="B2" sqref="B2:H3"/>
    </sheetView>
  </sheetViews>
  <sheetFormatPr baseColWidth="10" defaultColWidth="11.5" defaultRowHeight="15" x14ac:dyDescent="0.2"/>
  <cols>
    <col min="2" max="2" width="10.6640625" customWidth="1"/>
    <col min="3" max="3" width="19.33203125" customWidth="1"/>
    <col min="4" max="4" width="36.33203125" customWidth="1"/>
    <col min="5" max="5" width="13.33203125" customWidth="1"/>
    <col min="9" max="9" width="11.5" customWidth="1"/>
    <col min="11" max="11" width="29.5" customWidth="1"/>
    <col min="12" max="12" width="12.6640625" customWidth="1"/>
    <col min="13" max="13" width="14.83203125" customWidth="1"/>
    <col min="14" max="14" width="16.33203125" customWidth="1"/>
  </cols>
  <sheetData>
    <row r="1" spans="2:23" ht="15" customHeight="1" x14ac:dyDescent="0.2">
      <c r="I1" s="152"/>
      <c r="J1" s="152"/>
      <c r="K1" s="152"/>
      <c r="L1" s="152"/>
      <c r="M1" s="152"/>
      <c r="N1" s="152"/>
      <c r="O1" s="152"/>
      <c r="P1" s="152"/>
      <c r="Q1" s="152"/>
      <c r="R1" s="152"/>
      <c r="S1" s="152"/>
      <c r="T1" s="152"/>
      <c r="U1" s="152"/>
      <c r="V1" s="152"/>
      <c r="W1" s="152"/>
    </row>
    <row r="2" spans="2:23" ht="15" customHeight="1" x14ac:dyDescent="0.2">
      <c r="B2" s="570" t="s">
        <v>260</v>
      </c>
      <c r="C2" s="571"/>
      <c r="D2" s="571"/>
      <c r="E2" s="571"/>
      <c r="F2" s="571"/>
      <c r="G2" s="571"/>
      <c r="H2" s="571"/>
      <c r="I2" s="152"/>
      <c r="J2" s="152"/>
      <c r="K2" s="152"/>
      <c r="L2" s="152"/>
      <c r="M2" s="152"/>
      <c r="N2" s="152"/>
      <c r="O2" s="152"/>
      <c r="P2" s="152"/>
      <c r="Q2" s="152"/>
      <c r="R2" s="152"/>
      <c r="S2" s="152"/>
      <c r="T2" s="152"/>
      <c r="U2" s="152"/>
      <c r="V2" s="152"/>
      <c r="W2" s="152"/>
    </row>
    <row r="3" spans="2:23" x14ac:dyDescent="0.2">
      <c r="B3" s="570"/>
      <c r="C3" s="571"/>
      <c r="D3" s="571"/>
      <c r="E3" s="571"/>
      <c r="F3" s="571"/>
      <c r="G3" s="571"/>
      <c r="H3" s="571"/>
      <c r="I3" s="151"/>
      <c r="J3" s="151"/>
      <c r="K3" s="151"/>
      <c r="L3" s="151"/>
      <c r="M3" s="151"/>
      <c r="N3" s="151"/>
      <c r="O3" s="151"/>
      <c r="P3" s="152"/>
      <c r="Q3" s="152"/>
      <c r="R3" s="152"/>
      <c r="S3" s="152"/>
      <c r="T3" s="152"/>
      <c r="U3" s="152"/>
      <c r="V3" s="152"/>
      <c r="W3" s="152"/>
    </row>
    <row r="4" spans="2:23" x14ac:dyDescent="0.2">
      <c r="B4" s="152"/>
      <c r="C4" s="152"/>
      <c r="D4" s="152"/>
      <c r="E4" s="152"/>
      <c r="F4" s="152"/>
      <c r="G4" s="152"/>
      <c r="H4" s="152"/>
      <c r="I4" s="255"/>
      <c r="J4" s="209"/>
      <c r="K4" s="209"/>
      <c r="L4" s="210"/>
      <c r="M4" s="210"/>
      <c r="N4" s="152"/>
      <c r="O4" s="152"/>
      <c r="P4" s="152"/>
      <c r="Q4" s="152"/>
      <c r="R4" s="152"/>
      <c r="S4" s="152"/>
      <c r="T4" s="152"/>
      <c r="U4" s="152"/>
      <c r="V4" s="152"/>
      <c r="W4" s="152"/>
    </row>
    <row r="5" spans="2:23" x14ac:dyDescent="0.2">
      <c r="B5" s="569" t="s">
        <v>220</v>
      </c>
      <c r="C5" s="569"/>
      <c r="D5" s="569"/>
      <c r="E5" s="569"/>
      <c r="F5" s="569"/>
      <c r="G5" s="569"/>
      <c r="H5" s="569"/>
      <c r="I5" s="209"/>
      <c r="J5" s="569" t="s">
        <v>241</v>
      </c>
      <c r="K5" s="569"/>
      <c r="L5" s="569"/>
      <c r="M5" s="569"/>
      <c r="N5" s="569"/>
      <c r="O5" s="569"/>
      <c r="P5" s="569"/>
      <c r="Q5" s="152"/>
      <c r="R5" s="152"/>
      <c r="S5" s="152"/>
      <c r="T5" s="152"/>
      <c r="U5" s="152"/>
      <c r="V5" s="152"/>
      <c r="W5" s="152"/>
    </row>
    <row r="6" spans="2:23" x14ac:dyDescent="0.2">
      <c r="B6" s="152"/>
      <c r="C6" s="152"/>
      <c r="D6" s="152"/>
      <c r="E6" s="151" t="s">
        <v>224</v>
      </c>
      <c r="F6" s="152"/>
      <c r="G6" s="152"/>
      <c r="H6" s="152"/>
      <c r="I6" s="396"/>
      <c r="J6" s="152"/>
      <c r="K6" s="152"/>
      <c r="L6" s="152"/>
      <c r="M6" s="151" t="s">
        <v>224</v>
      </c>
      <c r="N6" s="152"/>
      <c r="O6" s="152"/>
      <c r="P6" s="152"/>
      <c r="Q6" s="152"/>
      <c r="R6" s="152"/>
      <c r="S6" s="152"/>
      <c r="T6" s="152"/>
      <c r="U6" s="152"/>
      <c r="V6" s="152"/>
      <c r="W6" s="152"/>
    </row>
    <row r="7" spans="2:23" x14ac:dyDescent="0.2">
      <c r="B7" s="152"/>
      <c r="C7" s="152"/>
      <c r="D7" s="256"/>
      <c r="E7" s="257" t="s">
        <v>223</v>
      </c>
      <c r="F7" s="152"/>
      <c r="G7" s="152"/>
      <c r="H7" s="152"/>
      <c r="I7" s="209"/>
      <c r="J7" s="209"/>
      <c r="K7" s="211" t="s">
        <v>227</v>
      </c>
      <c r="L7" s="211" t="s">
        <v>228</v>
      </c>
      <c r="M7" s="212" t="s">
        <v>234</v>
      </c>
      <c r="N7" s="212" t="s">
        <v>235</v>
      </c>
      <c r="O7" s="152"/>
      <c r="P7" s="152"/>
      <c r="Q7" s="171"/>
      <c r="R7" s="171"/>
      <c r="S7" s="152"/>
      <c r="T7" s="152"/>
      <c r="U7" s="152"/>
      <c r="V7" s="152"/>
      <c r="W7" s="152"/>
    </row>
    <row r="8" spans="2:23" x14ac:dyDescent="0.2">
      <c r="B8" s="152"/>
      <c r="C8" s="152"/>
      <c r="D8" s="242" t="s">
        <v>221</v>
      </c>
      <c r="E8" s="217">
        <f>DCF!D10</f>
        <v>806.00703199999998</v>
      </c>
      <c r="F8" s="152"/>
      <c r="G8" s="152"/>
      <c r="H8" s="152"/>
      <c r="I8" s="151"/>
      <c r="J8" s="209"/>
      <c r="K8" s="213" t="s">
        <v>229</v>
      </c>
      <c r="L8" s="216">
        <f>F25</f>
        <v>16.044600358581139</v>
      </c>
      <c r="M8" s="217">
        <f>L8*E8</f>
        <v>12932.060714646119</v>
      </c>
      <c r="N8" s="220">
        <f>(M8-$E$10)/$E$11</f>
        <v>88.294741523318024</v>
      </c>
      <c r="O8" s="221"/>
      <c r="P8" s="171"/>
      <c r="Q8" s="171"/>
      <c r="R8" s="171"/>
      <c r="S8" s="152"/>
      <c r="T8" s="152"/>
      <c r="U8" s="152"/>
      <c r="V8" s="152"/>
      <c r="W8" s="152"/>
    </row>
    <row r="9" spans="2:23" ht="15" customHeight="1" x14ac:dyDescent="0.2">
      <c r="B9" s="152"/>
      <c r="C9" s="152"/>
      <c r="D9" s="242" t="s">
        <v>15</v>
      </c>
      <c r="E9" s="217">
        <f>DCF!D14</f>
        <v>396.43280649999997</v>
      </c>
      <c r="F9" s="152"/>
      <c r="G9" s="152"/>
      <c r="H9" s="152"/>
      <c r="I9" s="152"/>
      <c r="J9" s="209"/>
      <c r="K9" s="213" t="s">
        <v>231</v>
      </c>
      <c r="L9" s="214">
        <f>F26</f>
        <v>15.154506491452127</v>
      </c>
      <c r="M9" s="217">
        <f>L9*$E$8</f>
        <v>12214.638798600061</v>
      </c>
      <c r="N9" s="220">
        <f t="shared" ref="N9:N13" si="0">(M9-$E$10)/$E$11</f>
        <v>81.632823833225558</v>
      </c>
      <c r="O9" s="221"/>
      <c r="P9" s="152"/>
      <c r="Q9" s="152"/>
      <c r="R9" s="152"/>
      <c r="S9" s="152"/>
      <c r="T9" s="152"/>
      <c r="U9" s="152"/>
      <c r="V9" s="152"/>
      <c r="W9" s="152"/>
    </row>
    <row r="10" spans="2:23" x14ac:dyDescent="0.2">
      <c r="B10" s="152"/>
      <c r="C10" s="152"/>
      <c r="D10" s="242" t="s">
        <v>175</v>
      </c>
      <c r="E10" s="217">
        <f>'Douglas''s History '!C149</f>
        <v>3423.6</v>
      </c>
      <c r="F10" s="152"/>
      <c r="G10" s="152"/>
      <c r="H10" s="152"/>
      <c r="I10" s="152"/>
      <c r="J10" s="209"/>
      <c r="K10" s="213" t="s">
        <v>230</v>
      </c>
      <c r="L10" s="214">
        <f>F41</f>
        <v>8.3874921117812526</v>
      </c>
      <c r="M10" s="217">
        <f>L10*$E$8</f>
        <v>6760.3776229402192</v>
      </c>
      <c r="N10" s="218">
        <f t="shared" si="0"/>
        <v>30.985027606465032</v>
      </c>
      <c r="O10" s="221"/>
      <c r="P10" s="152"/>
      <c r="Q10" s="152"/>
      <c r="R10" s="152"/>
      <c r="S10" s="152"/>
      <c r="T10" s="152"/>
      <c r="U10" s="152"/>
      <c r="V10" s="152"/>
      <c r="W10" s="152"/>
    </row>
    <row r="11" spans="2:23" ht="16" customHeight="1" x14ac:dyDescent="0.2">
      <c r="B11" s="152"/>
      <c r="C11" s="152"/>
      <c r="D11" s="242" t="s">
        <v>222</v>
      </c>
      <c r="E11" s="258">
        <f>107.69</f>
        <v>107.69</v>
      </c>
      <c r="F11" s="152"/>
      <c r="G11" s="152"/>
      <c r="H11" s="152"/>
      <c r="I11" s="152"/>
      <c r="J11" s="209"/>
      <c r="K11" s="213" t="s">
        <v>236</v>
      </c>
      <c r="L11" s="214">
        <f>F42</f>
        <v>8.3394471040406017</v>
      </c>
      <c r="M11" s="217">
        <f>L11*$E$8</f>
        <v>6721.6530088487607</v>
      </c>
      <c r="N11" s="218">
        <f t="shared" si="0"/>
        <v>30.62543419861418</v>
      </c>
      <c r="O11" s="221"/>
      <c r="P11" s="152"/>
      <c r="Q11" s="152"/>
      <c r="R11" s="152"/>
      <c r="S11" s="152"/>
      <c r="T11" s="152"/>
      <c r="U11" s="152"/>
      <c r="V11" s="152"/>
      <c r="W11" s="152"/>
    </row>
    <row r="12" spans="2:23" x14ac:dyDescent="0.2">
      <c r="B12" s="262"/>
      <c r="C12" s="262"/>
      <c r="D12" s="262"/>
      <c r="E12" s="262"/>
      <c r="F12" s="262"/>
      <c r="G12" s="262"/>
      <c r="H12" s="262"/>
      <c r="I12" s="152"/>
      <c r="J12" s="209"/>
      <c r="K12" s="213" t="s">
        <v>233</v>
      </c>
      <c r="L12" s="214">
        <f>E26</f>
        <v>20.514461720278724</v>
      </c>
      <c r="M12" s="217">
        <f>L12*$E$9</f>
        <v>8132.6056336069123</v>
      </c>
      <c r="N12" s="220">
        <f t="shared" si="0"/>
        <v>43.727417899590606</v>
      </c>
      <c r="O12" s="221"/>
      <c r="P12" s="152"/>
      <c r="Q12" s="152"/>
      <c r="R12" s="152"/>
      <c r="S12" s="152"/>
      <c r="T12" s="152"/>
      <c r="U12" s="152"/>
      <c r="V12" s="152"/>
      <c r="W12" s="152"/>
    </row>
    <row r="13" spans="2:23" x14ac:dyDescent="0.2">
      <c r="B13" s="569" t="s">
        <v>225</v>
      </c>
      <c r="C13" s="569"/>
      <c r="D13" s="569"/>
      <c r="E13" s="569"/>
      <c r="F13" s="569"/>
      <c r="G13" s="569"/>
      <c r="H13" s="569"/>
      <c r="I13" s="152"/>
      <c r="J13" s="209"/>
      <c r="K13" s="213" t="s">
        <v>232</v>
      </c>
      <c r="L13" s="214">
        <f>E42</f>
        <v>11.670284102291115</v>
      </c>
      <c r="M13" s="217">
        <f>L13*$E$9</f>
        <v>4626.4834793235996</v>
      </c>
      <c r="N13" s="219">
        <f t="shared" si="0"/>
        <v>11.16987166239762</v>
      </c>
      <c r="O13" s="221"/>
      <c r="P13" s="152"/>
      <c r="Q13" s="152"/>
      <c r="R13" s="152"/>
      <c r="S13" s="152"/>
      <c r="T13" s="152"/>
      <c r="U13" s="152"/>
      <c r="V13" s="152"/>
      <c r="W13" s="152"/>
    </row>
    <row r="14" spans="2:23" x14ac:dyDescent="0.2">
      <c r="B14" s="152"/>
      <c r="C14" s="152"/>
      <c r="D14" s="152"/>
      <c r="E14" s="152"/>
      <c r="F14" s="152"/>
      <c r="G14" s="152"/>
      <c r="H14" s="152"/>
      <c r="I14" s="152"/>
      <c r="J14" s="209"/>
      <c r="K14" s="209"/>
      <c r="L14" s="209"/>
      <c r="M14" s="215"/>
      <c r="N14" s="152"/>
      <c r="O14" s="152"/>
      <c r="P14" s="152"/>
      <c r="Q14" s="152"/>
      <c r="R14" s="152"/>
      <c r="S14" s="152"/>
      <c r="T14" s="152"/>
      <c r="U14" s="152"/>
      <c r="V14" s="152"/>
      <c r="W14" s="152"/>
    </row>
    <row r="15" spans="2:23" ht="16" customHeight="1" x14ac:dyDescent="0.2">
      <c r="B15" s="152"/>
      <c r="C15" s="152"/>
      <c r="D15" s="153" t="s">
        <v>198</v>
      </c>
      <c r="E15" s="152"/>
      <c r="F15" s="152"/>
      <c r="G15" s="152"/>
      <c r="H15" s="152"/>
      <c r="I15" s="152"/>
      <c r="J15" s="569" t="s">
        <v>237</v>
      </c>
      <c r="K15" s="569"/>
      <c r="L15" s="569"/>
      <c r="M15" s="569"/>
      <c r="N15" s="569"/>
      <c r="O15" s="569"/>
      <c r="P15" s="569"/>
      <c r="Q15" s="152"/>
      <c r="R15" s="152"/>
      <c r="S15" s="152"/>
      <c r="T15" s="152"/>
      <c r="U15" s="152"/>
      <c r="V15" s="152"/>
      <c r="W15" s="152"/>
    </row>
    <row r="16" spans="2:23" ht="37" customHeight="1" x14ac:dyDescent="0.2">
      <c r="B16" s="152"/>
      <c r="C16" s="152"/>
      <c r="D16" s="223" t="s">
        <v>199</v>
      </c>
      <c r="E16" s="224" t="s">
        <v>200</v>
      </c>
      <c r="F16" s="224" t="s">
        <v>201</v>
      </c>
      <c r="G16" s="152"/>
      <c r="H16" s="152"/>
      <c r="I16" s="152"/>
      <c r="K16" s="572" t="s">
        <v>237</v>
      </c>
      <c r="L16" s="573"/>
      <c r="Q16" s="152"/>
      <c r="R16" s="152"/>
      <c r="S16" s="152"/>
      <c r="T16" s="152"/>
      <c r="U16" s="152"/>
      <c r="V16" s="152"/>
      <c r="W16" s="152"/>
    </row>
    <row r="17" spans="2:23" x14ac:dyDescent="0.2">
      <c r="B17" s="152"/>
      <c r="C17" s="152"/>
      <c r="D17" s="231" t="s">
        <v>202</v>
      </c>
      <c r="E17" s="233">
        <v>27.003798942225501</v>
      </c>
      <c r="F17" s="233">
        <v>22.626189669697801</v>
      </c>
      <c r="G17" s="152"/>
      <c r="H17" s="152"/>
      <c r="I17" s="152"/>
      <c r="J17" s="152"/>
      <c r="K17" s="156" t="s">
        <v>238</v>
      </c>
      <c r="L17" s="177">
        <v>30</v>
      </c>
      <c r="M17" s="152"/>
      <c r="N17" s="152"/>
      <c r="O17" s="152"/>
      <c r="P17" s="152"/>
      <c r="Q17" s="152"/>
      <c r="R17" s="152"/>
      <c r="S17" s="152"/>
      <c r="T17" s="152"/>
      <c r="U17" s="152"/>
      <c r="V17" s="152"/>
      <c r="W17" s="152"/>
    </row>
    <row r="18" spans="2:23" x14ac:dyDescent="0.2">
      <c r="B18" s="152"/>
      <c r="C18" s="152"/>
      <c r="D18" s="231" t="s">
        <v>203</v>
      </c>
      <c r="E18" s="233">
        <v>20.476937513945185</v>
      </c>
      <c r="F18" s="233">
        <v>16.483310547595845</v>
      </c>
      <c r="G18" s="152"/>
      <c r="H18" s="152"/>
      <c r="I18" s="152"/>
      <c r="J18" s="152"/>
      <c r="K18" s="156" t="s">
        <v>239</v>
      </c>
      <c r="L18" s="177">
        <v>28</v>
      </c>
      <c r="M18" s="152"/>
      <c r="N18" s="152"/>
      <c r="O18" s="152"/>
      <c r="P18" s="152"/>
      <c r="Q18" s="152"/>
      <c r="R18" s="152"/>
      <c r="S18" s="152"/>
      <c r="T18" s="152"/>
      <c r="U18" s="152"/>
      <c r="V18" s="152"/>
      <c r="W18" s="152"/>
    </row>
    <row r="19" spans="2:23" x14ac:dyDescent="0.2">
      <c r="B19" s="152"/>
      <c r="C19" s="152"/>
      <c r="D19" s="231" t="s">
        <v>204</v>
      </c>
      <c r="E19" s="233">
        <v>20.551985926612268</v>
      </c>
      <c r="F19" s="233">
        <v>19.159081521598171</v>
      </c>
      <c r="G19" s="152"/>
      <c r="H19" s="152"/>
      <c r="I19" s="152"/>
      <c r="J19" s="152"/>
      <c r="K19" s="156" t="s">
        <v>240</v>
      </c>
      <c r="L19" s="177">
        <v>26</v>
      </c>
      <c r="M19" s="152"/>
      <c r="N19" s="152"/>
      <c r="O19" s="152"/>
      <c r="P19" s="152"/>
      <c r="Q19" s="152"/>
      <c r="R19" s="152"/>
      <c r="S19" s="152"/>
      <c r="T19" s="152"/>
      <c r="U19" s="152"/>
      <c r="V19" s="152"/>
      <c r="W19" s="152"/>
    </row>
    <row r="20" spans="2:23" x14ac:dyDescent="0.2">
      <c r="B20" s="152"/>
      <c r="C20" s="152"/>
      <c r="D20" s="231" t="s">
        <v>205</v>
      </c>
      <c r="E20" s="233">
        <v>14.09728601863482</v>
      </c>
      <c r="F20" s="233">
        <v>9.3239030821821078</v>
      </c>
      <c r="G20" s="152"/>
      <c r="H20" s="152"/>
      <c r="I20" s="152"/>
      <c r="J20" s="152"/>
      <c r="K20" s="152"/>
      <c r="L20" s="157"/>
      <c r="M20" s="152"/>
      <c r="N20" s="152"/>
      <c r="O20" s="152"/>
      <c r="P20" s="152"/>
      <c r="Q20" s="152"/>
      <c r="R20" s="152"/>
      <c r="S20" s="152"/>
      <c r="T20" s="152"/>
      <c r="U20" s="152"/>
      <c r="V20" s="152"/>
      <c r="W20" s="152"/>
    </row>
    <row r="21" spans="2:23" x14ac:dyDescent="0.2">
      <c r="B21" s="152"/>
      <c r="C21" s="152"/>
      <c r="D21" s="231" t="s">
        <v>206</v>
      </c>
      <c r="E21" s="233">
        <v>31.056156407690867</v>
      </c>
      <c r="F21" s="233">
        <v>21.688297214938331</v>
      </c>
      <c r="G21" s="152"/>
      <c r="H21" s="152"/>
      <c r="I21" s="152"/>
      <c r="J21" s="152"/>
      <c r="K21" s="152"/>
      <c r="L21" s="152"/>
      <c r="M21" s="152"/>
      <c r="N21" s="152"/>
      <c r="O21" s="152"/>
      <c r="P21" s="152"/>
      <c r="Q21" s="152"/>
      <c r="R21" s="152"/>
      <c r="S21" s="152"/>
      <c r="T21" s="152"/>
      <c r="U21" s="152"/>
      <c r="V21" s="152"/>
      <c r="W21" s="152"/>
    </row>
    <row r="22" spans="2:23" x14ac:dyDescent="0.2">
      <c r="B22" s="152"/>
      <c r="C22" s="152"/>
      <c r="D22" s="231" t="s">
        <v>207</v>
      </c>
      <c r="E22" s="233">
        <v>16.54130504341359</v>
      </c>
      <c r="F22" s="233">
        <v>13.022917973237055</v>
      </c>
      <c r="G22" s="152"/>
      <c r="H22" s="152"/>
      <c r="I22" s="152"/>
      <c r="J22" s="152"/>
      <c r="K22" s="152"/>
      <c r="L22" s="152"/>
      <c r="M22" s="152"/>
      <c r="N22" s="152"/>
      <c r="O22" s="152"/>
      <c r="P22" s="152"/>
      <c r="Q22" s="152"/>
      <c r="R22" s="152"/>
      <c r="S22" s="152"/>
      <c r="T22" s="152"/>
      <c r="U22" s="152"/>
      <c r="V22" s="152"/>
      <c r="W22" s="152"/>
    </row>
    <row r="23" spans="2:23" x14ac:dyDescent="0.2">
      <c r="B23" s="152"/>
      <c r="C23" s="152"/>
      <c r="D23" s="231" t="s">
        <v>218</v>
      </c>
      <c r="E23" s="233">
        <v>30.763124711465984</v>
      </c>
      <c r="F23" s="233">
        <v>13.825702435308408</v>
      </c>
      <c r="G23" s="152"/>
      <c r="H23" s="152"/>
      <c r="I23" s="152"/>
      <c r="J23" s="152"/>
      <c r="K23" s="152"/>
      <c r="L23" s="152"/>
      <c r="M23" s="152"/>
      <c r="N23" s="152"/>
      <c r="O23" s="152"/>
      <c r="P23" s="152"/>
      <c r="Q23" s="152"/>
      <c r="R23" s="152"/>
      <c r="S23" s="152"/>
      <c r="T23" s="152"/>
      <c r="U23" s="152"/>
      <c r="V23" s="152"/>
      <c r="W23" s="152"/>
    </row>
    <row r="24" spans="2:23" ht="16" thickBot="1" x14ac:dyDescent="0.25">
      <c r="B24" s="152"/>
      <c r="C24" s="152"/>
      <c r="D24" s="232" t="s">
        <v>219</v>
      </c>
      <c r="E24" s="234">
        <v>19.177739981851627</v>
      </c>
      <c r="F24" s="234">
        <v>12.227400424091398</v>
      </c>
      <c r="G24" s="152"/>
      <c r="H24" s="152"/>
      <c r="I24" s="152"/>
      <c r="J24" s="152"/>
      <c r="K24" s="152"/>
      <c r="L24" s="152"/>
      <c r="M24" s="152"/>
      <c r="N24" s="152"/>
      <c r="O24" s="152"/>
      <c r="P24" s="152"/>
      <c r="Q24" s="152"/>
      <c r="R24" s="152"/>
      <c r="S24" s="152"/>
      <c r="T24" s="152"/>
      <c r="U24" s="152"/>
      <c r="V24" s="152"/>
      <c r="W24" s="152"/>
    </row>
    <row r="25" spans="2:23" x14ac:dyDescent="0.2">
      <c r="B25" s="152"/>
      <c r="C25" s="152"/>
      <c r="D25" s="225" t="s">
        <v>208</v>
      </c>
      <c r="E25" s="226">
        <f>AVERAGE(E17:E24)</f>
        <v>22.458541818229982</v>
      </c>
      <c r="F25" s="227">
        <f>AVERAGE(F17:F24)</f>
        <v>16.044600358581139</v>
      </c>
      <c r="G25" s="152"/>
      <c r="H25" s="152"/>
      <c r="I25" s="152"/>
      <c r="J25" s="152"/>
      <c r="K25" s="152"/>
      <c r="L25" s="152"/>
      <c r="M25" s="152"/>
      <c r="N25" s="152"/>
      <c r="O25" s="152"/>
      <c r="P25" s="152"/>
      <c r="Q25" s="152"/>
      <c r="R25" s="152"/>
      <c r="S25" s="152"/>
      <c r="T25" s="152"/>
      <c r="U25" s="152"/>
      <c r="V25" s="152"/>
      <c r="W25" s="152"/>
    </row>
    <row r="26" spans="2:23" ht="16" thickBot="1" x14ac:dyDescent="0.25">
      <c r="B26" s="152"/>
      <c r="C26" s="152"/>
      <c r="D26" s="228" t="s">
        <v>209</v>
      </c>
      <c r="E26" s="229">
        <f>MEDIAN(E17:E24)</f>
        <v>20.514461720278724</v>
      </c>
      <c r="F26" s="230">
        <f>MEDIAN(F17:F24)</f>
        <v>15.154506491452127</v>
      </c>
      <c r="G26" s="152"/>
      <c r="H26" s="152"/>
      <c r="I26" s="152"/>
      <c r="J26" s="152"/>
      <c r="K26" s="152"/>
      <c r="L26" s="152"/>
      <c r="M26" s="152"/>
      <c r="N26" s="152"/>
      <c r="O26" s="152"/>
      <c r="P26" s="152"/>
      <c r="Q26" s="152"/>
      <c r="R26" s="152"/>
      <c r="S26" s="152"/>
      <c r="T26" s="152"/>
      <c r="U26" s="152"/>
      <c r="V26" s="152"/>
      <c r="W26" s="152"/>
    </row>
    <row r="27" spans="2:23" x14ac:dyDescent="0.2">
      <c r="B27" s="152"/>
      <c r="C27" s="152"/>
      <c r="D27" s="152"/>
      <c r="E27" s="152"/>
      <c r="F27" s="152"/>
      <c r="G27" s="195"/>
      <c r="H27" s="260"/>
      <c r="I27" s="152"/>
      <c r="J27" s="152"/>
      <c r="K27" s="152"/>
      <c r="L27" s="152"/>
      <c r="M27" s="152"/>
      <c r="N27" s="152"/>
      <c r="O27" s="152"/>
      <c r="P27" s="152"/>
      <c r="Q27" s="152"/>
      <c r="R27" s="152"/>
      <c r="S27" s="152"/>
      <c r="T27" s="152"/>
      <c r="U27" s="152"/>
      <c r="V27" s="152"/>
      <c r="W27" s="152"/>
    </row>
    <row r="28" spans="2:23" x14ac:dyDescent="0.2">
      <c r="B28" s="152"/>
      <c r="C28" s="152"/>
      <c r="D28" s="152"/>
      <c r="E28" s="194"/>
      <c r="F28" s="195"/>
      <c r="G28" s="195"/>
      <c r="H28" s="152"/>
      <c r="I28" s="152"/>
      <c r="J28" s="152"/>
      <c r="K28" s="410"/>
      <c r="L28" s="261"/>
      <c r="M28" s="261"/>
      <c r="N28" s="261"/>
      <c r="O28" s="261"/>
      <c r="P28" s="152"/>
      <c r="Q28" s="152"/>
      <c r="R28" s="152"/>
      <c r="S28" s="152"/>
      <c r="T28" s="152"/>
      <c r="U28" s="152"/>
      <c r="V28" s="152"/>
      <c r="W28" s="152"/>
    </row>
    <row r="29" spans="2:23" x14ac:dyDescent="0.2">
      <c r="B29" s="569" t="s">
        <v>226</v>
      </c>
      <c r="C29" s="569"/>
      <c r="D29" s="569"/>
      <c r="E29" s="569"/>
      <c r="F29" s="569"/>
      <c r="G29" s="569"/>
      <c r="H29" s="569"/>
      <c r="I29" s="151"/>
      <c r="J29" s="151"/>
      <c r="K29" s="151"/>
      <c r="L29" s="151"/>
      <c r="M29" s="151"/>
      <c r="N29" s="151"/>
      <c r="O29" s="151"/>
      <c r="P29" s="151"/>
      <c r="Q29" s="151"/>
      <c r="R29" s="152"/>
      <c r="S29" s="152"/>
      <c r="T29" s="152"/>
      <c r="U29" s="152"/>
      <c r="V29" s="152"/>
      <c r="W29" s="152"/>
    </row>
    <row r="30" spans="2:23" x14ac:dyDescent="0.2">
      <c r="B30" s="262"/>
      <c r="C30" s="262"/>
      <c r="D30" s="262"/>
      <c r="E30" s="262"/>
      <c r="F30" s="262"/>
      <c r="G30" s="262"/>
      <c r="H30" s="262"/>
      <c r="I30" s="255"/>
      <c r="J30" s="255"/>
      <c r="K30" s="255"/>
      <c r="L30" s="255"/>
      <c r="M30" s="255"/>
      <c r="N30" s="255"/>
      <c r="O30" s="255"/>
      <c r="P30" s="152"/>
      <c r="Q30" s="152"/>
      <c r="R30" s="152"/>
      <c r="S30" s="152"/>
      <c r="T30" s="152"/>
      <c r="U30" s="152"/>
      <c r="V30" s="152"/>
      <c r="W30" s="152"/>
    </row>
    <row r="31" spans="2:23" ht="37" customHeight="1" x14ac:dyDescent="0.2">
      <c r="B31" s="152"/>
      <c r="C31" s="152"/>
      <c r="D31" s="153" t="s">
        <v>198</v>
      </c>
      <c r="E31" s="152"/>
      <c r="F31" s="152"/>
      <c r="G31" s="152"/>
      <c r="H31" s="152"/>
      <c r="I31" s="155"/>
      <c r="J31" s="209"/>
      <c r="K31" s="209"/>
      <c r="L31" s="209"/>
      <c r="M31" s="209"/>
      <c r="N31" s="209"/>
      <c r="O31" s="151"/>
      <c r="P31" s="152"/>
      <c r="Q31" s="152"/>
      <c r="R31" s="152"/>
      <c r="S31" s="152"/>
      <c r="T31" s="152"/>
      <c r="U31" s="152"/>
      <c r="V31" s="152"/>
      <c r="W31" s="152"/>
    </row>
    <row r="32" spans="2:23" ht="39" customHeight="1" x14ac:dyDescent="0.2">
      <c r="B32" s="152"/>
      <c r="C32" s="152"/>
      <c r="D32" s="207" t="s">
        <v>199</v>
      </c>
      <c r="E32" s="208" t="s">
        <v>200</v>
      </c>
      <c r="F32" s="208" t="s">
        <v>201</v>
      </c>
      <c r="G32" s="152"/>
      <c r="H32" s="152"/>
      <c r="I32" s="259"/>
      <c r="J32" s="209"/>
      <c r="K32" s="209"/>
      <c r="L32" s="209"/>
      <c r="M32" s="209"/>
      <c r="N32" s="155"/>
      <c r="O32" s="155"/>
      <c r="P32" s="152"/>
      <c r="Q32" s="152"/>
      <c r="R32" s="152"/>
      <c r="S32" s="152"/>
      <c r="T32" s="152"/>
      <c r="U32" s="152"/>
      <c r="V32" s="152"/>
      <c r="W32" s="152"/>
    </row>
    <row r="33" spans="2:23" ht="18" customHeight="1" x14ac:dyDescent="0.2">
      <c r="B33" s="152"/>
      <c r="C33" s="152"/>
      <c r="D33" s="196" t="s">
        <v>210</v>
      </c>
      <c r="E33" s="197">
        <v>15.5786033685135</v>
      </c>
      <c r="F33" s="197">
        <v>13.529643229459399</v>
      </c>
      <c r="G33" s="152"/>
      <c r="H33" s="152"/>
      <c r="I33" s="259"/>
      <c r="J33" s="209"/>
      <c r="K33" s="209"/>
      <c r="L33" s="209"/>
      <c r="M33" s="209"/>
      <c r="N33" s="155"/>
      <c r="O33" s="155"/>
      <c r="P33" s="152"/>
      <c r="Q33" s="152"/>
      <c r="R33" s="152"/>
      <c r="S33" s="152"/>
      <c r="T33" s="152"/>
      <c r="U33" s="152"/>
      <c r="V33" s="152"/>
      <c r="W33" s="152"/>
    </row>
    <row r="34" spans="2:23" x14ac:dyDescent="0.2">
      <c r="B34" s="152"/>
      <c r="C34" s="152"/>
      <c r="D34" s="196" t="s">
        <v>211</v>
      </c>
      <c r="E34" s="197">
        <v>11.574944677653745</v>
      </c>
      <c r="F34" s="197">
        <v>9.5748049505233794</v>
      </c>
      <c r="G34" s="152"/>
      <c r="H34" s="152"/>
      <c r="I34" s="259"/>
      <c r="J34" s="209"/>
      <c r="K34" s="209"/>
      <c r="L34" s="209"/>
      <c r="M34" s="209"/>
      <c r="N34" s="155"/>
      <c r="O34" s="155"/>
      <c r="P34" s="152"/>
      <c r="Q34" s="152"/>
      <c r="R34" s="152"/>
      <c r="S34" s="152"/>
      <c r="T34" s="152"/>
      <c r="U34" s="152"/>
      <c r="V34" s="152"/>
      <c r="W34" s="152"/>
    </row>
    <row r="35" spans="2:23" x14ac:dyDescent="0.2">
      <c r="B35" s="152"/>
      <c r="C35" s="152"/>
      <c r="D35" s="196" t="s">
        <v>212</v>
      </c>
      <c r="E35" s="197">
        <v>10.497115032543004</v>
      </c>
      <c r="F35" s="197">
        <v>4.9896046161447032</v>
      </c>
      <c r="G35" s="152"/>
      <c r="H35" s="152"/>
      <c r="I35" s="259"/>
      <c r="J35" s="209"/>
      <c r="K35" s="209"/>
      <c r="L35" s="209"/>
      <c r="M35" s="209"/>
      <c r="N35" s="155"/>
      <c r="O35" s="155"/>
      <c r="P35" s="152"/>
      <c r="Q35" s="152"/>
      <c r="R35" s="152"/>
      <c r="S35" s="152"/>
      <c r="T35" s="152"/>
      <c r="U35" s="152"/>
      <c r="V35" s="152"/>
      <c r="W35" s="152"/>
    </row>
    <row r="36" spans="2:23" x14ac:dyDescent="0.2">
      <c r="B36" s="152"/>
      <c r="C36" s="152"/>
      <c r="D36" s="196" t="s">
        <v>213</v>
      </c>
      <c r="E36" s="197">
        <v>15.57313348083548</v>
      </c>
      <c r="F36" s="197">
        <v>10.862935618402073</v>
      </c>
      <c r="G36" s="152"/>
      <c r="H36" s="152"/>
      <c r="I36" s="259"/>
      <c r="J36" s="209"/>
      <c r="K36" s="209"/>
      <c r="L36" s="209"/>
      <c r="M36" s="209"/>
      <c r="N36" s="155"/>
      <c r="O36" s="155"/>
      <c r="P36" s="152"/>
      <c r="Q36" s="152"/>
      <c r="R36" s="152"/>
      <c r="S36" s="152"/>
      <c r="T36" s="152"/>
      <c r="U36" s="152"/>
      <c r="V36" s="152"/>
      <c r="W36" s="152"/>
    </row>
    <row r="37" spans="2:23" x14ac:dyDescent="0.2">
      <c r="B37" s="152"/>
      <c r="C37" s="152"/>
      <c r="D37" s="196" t="s">
        <v>214</v>
      </c>
      <c r="E37" s="197">
        <v>14.709316525418815</v>
      </c>
      <c r="F37" s="197">
        <v>7.1040892575578241</v>
      </c>
      <c r="G37" s="152"/>
      <c r="H37" s="152"/>
      <c r="I37" s="259"/>
      <c r="J37" s="209"/>
      <c r="K37" s="209"/>
      <c r="L37" s="209"/>
      <c r="M37" s="209"/>
      <c r="N37" s="155"/>
      <c r="O37" s="155"/>
      <c r="P37" s="152"/>
      <c r="Q37" s="152"/>
      <c r="R37" s="152"/>
      <c r="S37" s="152"/>
      <c r="T37" s="152"/>
      <c r="U37" s="152"/>
      <c r="V37" s="152"/>
      <c r="W37" s="152"/>
    </row>
    <row r="38" spans="2:23" x14ac:dyDescent="0.2">
      <c r="B38" s="152"/>
      <c r="C38" s="152"/>
      <c r="D38" s="196" t="s">
        <v>215</v>
      </c>
      <c r="E38" s="197">
        <v>9.0283470028147992</v>
      </c>
      <c r="F38" s="201">
        <v>5.39498898247715</v>
      </c>
      <c r="G38" s="152"/>
      <c r="H38" s="152"/>
      <c r="I38" s="259"/>
      <c r="J38" s="209"/>
      <c r="K38" s="209"/>
      <c r="L38" s="209"/>
      <c r="M38" s="209"/>
      <c r="N38" s="155"/>
      <c r="O38" s="155"/>
      <c r="P38" s="152"/>
      <c r="Q38" s="152"/>
      <c r="R38" s="152"/>
      <c r="S38" s="152"/>
      <c r="T38" s="152"/>
      <c r="U38" s="152"/>
      <c r="V38" s="152"/>
      <c r="W38" s="152"/>
    </row>
    <row r="39" spans="2:23" x14ac:dyDescent="0.2">
      <c r="B39" s="152"/>
      <c r="C39" s="152"/>
      <c r="D39" s="196" t="s">
        <v>217</v>
      </c>
      <c r="E39" s="197">
        <v>10.31770569053908</v>
      </c>
      <c r="F39" s="201">
        <v>5.7766206344700519</v>
      </c>
      <c r="G39" s="152"/>
      <c r="H39" s="152"/>
      <c r="I39" s="259"/>
      <c r="J39" s="209"/>
      <c r="K39" s="209"/>
      <c r="L39" s="209"/>
      <c r="M39" s="209"/>
      <c r="N39" s="155"/>
      <c r="O39" s="155"/>
      <c r="P39" s="152"/>
      <c r="Q39" s="152"/>
      <c r="R39" s="152"/>
      <c r="S39" s="152"/>
      <c r="T39" s="152"/>
      <c r="U39" s="152"/>
      <c r="V39" s="152"/>
      <c r="W39" s="152"/>
    </row>
    <row r="40" spans="2:23" ht="16" thickBot="1" x14ac:dyDescent="0.25">
      <c r="B40" s="152"/>
      <c r="C40" s="152"/>
      <c r="D40" s="196" t="s">
        <v>216</v>
      </c>
      <c r="E40" s="198">
        <v>11.765623526928485</v>
      </c>
      <c r="F40" s="202">
        <v>9.8672496052154397</v>
      </c>
      <c r="G40" s="152"/>
      <c r="H40" s="152"/>
      <c r="I40" s="152"/>
      <c r="J40" s="209"/>
      <c r="K40" s="209"/>
      <c r="L40" s="209"/>
      <c r="M40" s="209"/>
      <c r="N40" s="210"/>
      <c r="O40" s="210"/>
      <c r="P40" s="152"/>
      <c r="Q40" s="152"/>
      <c r="R40" s="152"/>
      <c r="S40" s="152"/>
      <c r="T40" s="152"/>
      <c r="U40" s="152"/>
      <c r="V40" s="152"/>
      <c r="W40" s="152"/>
    </row>
    <row r="41" spans="2:23" x14ac:dyDescent="0.2">
      <c r="B41" s="152"/>
      <c r="C41" s="152"/>
      <c r="D41" s="200" t="s">
        <v>208</v>
      </c>
      <c r="E41" s="203">
        <f>AVERAGE(E33:E40)</f>
        <v>12.380598663155864</v>
      </c>
      <c r="F41" s="204">
        <f>AVERAGE(F33:F40)</f>
        <v>8.3874921117812526</v>
      </c>
      <c r="G41" s="152"/>
      <c r="H41" s="152"/>
      <c r="I41" s="152"/>
      <c r="J41" s="209"/>
      <c r="K41" s="209"/>
      <c r="L41" s="209"/>
      <c r="M41" s="209"/>
      <c r="N41" s="210"/>
      <c r="O41" s="210"/>
      <c r="P41" s="152"/>
      <c r="Q41" s="152"/>
      <c r="R41" s="152"/>
      <c r="S41" s="152"/>
      <c r="T41" s="152"/>
      <c r="U41" s="152"/>
      <c r="V41" s="152"/>
      <c r="W41" s="152"/>
    </row>
    <row r="42" spans="2:23" ht="16" thickBot="1" x14ac:dyDescent="0.25">
      <c r="B42" s="152"/>
      <c r="C42" s="152"/>
      <c r="D42" s="199" t="s">
        <v>209</v>
      </c>
      <c r="E42" s="205">
        <f>MEDIAN(E33:E40)</f>
        <v>11.670284102291115</v>
      </c>
      <c r="F42" s="206">
        <f>MEDIAN(F33:F40)</f>
        <v>8.3394471040406017</v>
      </c>
      <c r="G42" s="152"/>
      <c r="H42" s="152"/>
      <c r="I42" s="152"/>
      <c r="J42" s="209"/>
      <c r="K42" s="209"/>
      <c r="L42" s="209"/>
      <c r="M42" s="209"/>
      <c r="N42" s="210"/>
      <c r="O42" s="210"/>
      <c r="P42" s="152"/>
      <c r="Q42" s="152"/>
      <c r="R42" s="152"/>
      <c r="S42" s="152"/>
      <c r="T42" s="152"/>
      <c r="U42" s="152"/>
      <c r="V42" s="152"/>
      <c r="W42" s="152"/>
    </row>
    <row r="43" spans="2:23" x14ac:dyDescent="0.2">
      <c r="B43" s="152"/>
      <c r="C43" s="152"/>
      <c r="D43" s="152"/>
      <c r="E43" s="152"/>
      <c r="F43" s="152"/>
      <c r="G43" s="152"/>
      <c r="H43" s="152"/>
      <c r="J43" s="192"/>
      <c r="K43" s="192"/>
      <c r="L43" s="192"/>
      <c r="M43" s="192"/>
      <c r="N43" s="193"/>
      <c r="O43" s="193"/>
    </row>
    <row r="44" spans="2:23" x14ac:dyDescent="0.2">
      <c r="K44" s="192"/>
      <c r="L44" s="192"/>
      <c r="M44" s="192"/>
      <c r="N44" s="192"/>
      <c r="O44" s="193"/>
      <c r="P44" s="191"/>
      <c r="Q44" s="191"/>
    </row>
    <row r="48" spans="2:23" x14ac:dyDescent="0.2">
      <c r="D48" s="190"/>
      <c r="F48" s="191"/>
      <c r="H48" s="191"/>
    </row>
    <row r="49" spans="5:5" x14ac:dyDescent="0.2">
      <c r="E49" s="190"/>
    </row>
  </sheetData>
  <mergeCells count="7">
    <mergeCell ref="B29:H29"/>
    <mergeCell ref="J5:P5"/>
    <mergeCell ref="J15:P15"/>
    <mergeCell ref="B2:H3"/>
    <mergeCell ref="B5:H5"/>
    <mergeCell ref="B13:H13"/>
    <mergeCell ref="K16:L1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214F5-7623-7345-A3FE-0CB84678D79A}">
  <dimension ref="B1:W47"/>
  <sheetViews>
    <sheetView workbookViewId="0">
      <selection activeCell="C1" sqref="C1:L3"/>
    </sheetView>
  </sheetViews>
  <sheetFormatPr baseColWidth="10" defaultRowHeight="15" x14ac:dyDescent="0.2"/>
  <cols>
    <col min="6" max="6" width="13.33203125" customWidth="1"/>
    <col min="7" max="7" width="12.6640625" customWidth="1"/>
    <col min="8" max="8" width="13" customWidth="1"/>
  </cols>
  <sheetData>
    <row r="1" spans="2:23" ht="16" customHeight="1" x14ac:dyDescent="0.2">
      <c r="B1" s="152"/>
      <c r="C1" s="420" t="s">
        <v>389</v>
      </c>
      <c r="D1" s="420"/>
      <c r="E1" s="420"/>
      <c r="F1" s="420"/>
      <c r="G1" s="420"/>
      <c r="H1" s="420"/>
      <c r="I1" s="420"/>
      <c r="J1" s="420"/>
      <c r="K1" s="420"/>
      <c r="L1" s="420"/>
      <c r="M1" s="152"/>
      <c r="N1" s="152"/>
      <c r="O1" s="152"/>
      <c r="P1" s="152"/>
      <c r="Q1" s="152"/>
      <c r="R1" s="152"/>
      <c r="S1" s="152"/>
      <c r="T1" s="152"/>
      <c r="U1" s="152"/>
      <c r="V1" s="152"/>
      <c r="W1" s="152"/>
    </row>
    <row r="2" spans="2:23" ht="18" customHeight="1" x14ac:dyDescent="0.2">
      <c r="B2" s="152"/>
      <c r="C2" s="420"/>
      <c r="D2" s="420"/>
      <c r="E2" s="420"/>
      <c r="F2" s="420"/>
      <c r="G2" s="420"/>
      <c r="H2" s="420"/>
      <c r="I2" s="420"/>
      <c r="J2" s="420"/>
      <c r="K2" s="420"/>
      <c r="L2" s="420"/>
      <c r="M2" s="152"/>
      <c r="N2" s="152"/>
      <c r="O2" s="152"/>
      <c r="P2" s="152"/>
      <c r="Q2" s="152"/>
      <c r="R2" s="152"/>
      <c r="S2" s="152"/>
      <c r="T2" s="152"/>
      <c r="U2" s="152"/>
      <c r="V2" s="152"/>
      <c r="W2" s="152"/>
    </row>
    <row r="3" spans="2:23" ht="16" customHeight="1" x14ac:dyDescent="0.2">
      <c r="B3" s="152"/>
      <c r="C3" s="420"/>
      <c r="D3" s="420"/>
      <c r="E3" s="420"/>
      <c r="F3" s="420"/>
      <c r="G3" s="420"/>
      <c r="H3" s="420"/>
      <c r="I3" s="420"/>
      <c r="J3" s="420"/>
      <c r="K3" s="420"/>
      <c r="L3" s="420"/>
      <c r="M3" s="152"/>
      <c r="N3" s="152"/>
      <c r="O3" s="152"/>
      <c r="P3" s="152"/>
      <c r="Q3" s="152"/>
      <c r="R3" s="152"/>
      <c r="S3" s="152"/>
      <c r="T3" s="152"/>
      <c r="U3" s="152"/>
      <c r="V3" s="152"/>
      <c r="W3" s="152"/>
    </row>
    <row r="4" spans="2:23" ht="12" customHeight="1" x14ac:dyDescent="0.2">
      <c r="B4" s="152"/>
      <c r="C4" s="152"/>
      <c r="D4" s="379"/>
      <c r="E4" s="152"/>
      <c r="F4" s="152"/>
      <c r="G4" s="152"/>
      <c r="H4" s="152"/>
      <c r="I4" s="152"/>
      <c r="J4" s="152"/>
      <c r="K4" s="152"/>
      <c r="L4" s="152"/>
      <c r="M4" s="152"/>
      <c r="N4" s="152"/>
      <c r="O4" s="152"/>
      <c r="P4" s="152"/>
      <c r="Q4" s="152"/>
      <c r="R4" s="152"/>
      <c r="S4" s="152"/>
      <c r="T4" s="152"/>
      <c r="U4" s="152"/>
      <c r="V4" s="152"/>
      <c r="W4" s="152"/>
    </row>
    <row r="5" spans="2:23" ht="16" customHeight="1" x14ac:dyDescent="0.2">
      <c r="B5" s="152"/>
      <c r="C5" s="421" t="s">
        <v>388</v>
      </c>
      <c r="D5" s="422"/>
      <c r="E5" s="422"/>
      <c r="F5" s="422"/>
      <c r="G5" s="422"/>
      <c r="H5" s="422"/>
      <c r="I5" s="422"/>
      <c r="J5" s="422"/>
      <c r="K5" s="422"/>
      <c r="L5" s="422"/>
      <c r="M5" s="152"/>
      <c r="N5" s="152"/>
      <c r="O5" s="152"/>
      <c r="P5" s="152"/>
      <c r="Q5" s="152"/>
      <c r="R5" s="152"/>
      <c r="S5" s="152"/>
      <c r="T5" s="152"/>
      <c r="U5" s="152"/>
      <c r="V5" s="152"/>
      <c r="W5" s="152"/>
    </row>
    <row r="6" spans="2:23" ht="14" customHeight="1" x14ac:dyDescent="0.2">
      <c r="B6" s="152"/>
      <c r="C6" s="422"/>
      <c r="D6" s="422"/>
      <c r="E6" s="422"/>
      <c r="F6" s="422"/>
      <c r="G6" s="422"/>
      <c r="H6" s="422"/>
      <c r="I6" s="422"/>
      <c r="J6" s="422"/>
      <c r="K6" s="422"/>
      <c r="L6" s="422"/>
      <c r="M6" s="152"/>
      <c r="N6" s="152"/>
      <c r="O6" s="152"/>
      <c r="P6" s="152"/>
      <c r="Q6" s="152"/>
      <c r="R6" s="152"/>
      <c r="S6" s="152"/>
      <c r="T6" s="152"/>
      <c r="U6" s="152"/>
      <c r="V6" s="152"/>
      <c r="W6" s="152"/>
    </row>
    <row r="7" spans="2:23" ht="16" customHeight="1" x14ac:dyDescent="0.2">
      <c r="B7" s="152"/>
      <c r="C7" s="426" t="s">
        <v>390</v>
      </c>
      <c r="D7" s="426"/>
      <c r="E7" s="426"/>
      <c r="F7" s="426"/>
      <c r="G7" s="426"/>
      <c r="H7" s="426"/>
      <c r="I7" s="426"/>
      <c r="J7" s="426"/>
      <c r="K7" s="426"/>
      <c r="L7" s="426"/>
      <c r="M7" s="152"/>
      <c r="N7" s="152"/>
      <c r="O7" s="152"/>
      <c r="P7" s="152"/>
      <c r="Q7" s="152"/>
      <c r="R7" s="152"/>
      <c r="S7" s="152"/>
      <c r="T7" s="152"/>
      <c r="U7" s="152"/>
      <c r="V7" s="152"/>
      <c r="W7" s="152"/>
    </row>
    <row r="8" spans="2:23" ht="18" customHeight="1" x14ac:dyDescent="0.2">
      <c r="B8" s="152"/>
      <c r="C8" s="426"/>
      <c r="D8" s="426"/>
      <c r="E8" s="426"/>
      <c r="F8" s="426"/>
      <c r="G8" s="426"/>
      <c r="H8" s="426"/>
      <c r="I8" s="426"/>
      <c r="J8" s="426"/>
      <c r="K8" s="426"/>
      <c r="L8" s="426"/>
      <c r="M8" s="152"/>
      <c r="N8" s="152"/>
      <c r="O8" s="152"/>
      <c r="P8" s="152"/>
      <c r="Q8" s="152"/>
      <c r="R8" s="152"/>
      <c r="S8" s="152"/>
      <c r="T8" s="152"/>
      <c r="U8" s="152"/>
      <c r="V8" s="152"/>
      <c r="W8" s="152"/>
    </row>
    <row r="9" spans="2:23" ht="14" customHeight="1" x14ac:dyDescent="0.2">
      <c r="B9" s="152"/>
      <c r="C9" s="426"/>
      <c r="D9" s="426"/>
      <c r="E9" s="426"/>
      <c r="F9" s="426"/>
      <c r="G9" s="426"/>
      <c r="H9" s="426"/>
      <c r="I9" s="426"/>
      <c r="J9" s="426"/>
      <c r="K9" s="426"/>
      <c r="L9" s="426"/>
      <c r="M9" s="152"/>
      <c r="N9" s="152"/>
      <c r="O9" s="152"/>
      <c r="P9" s="152"/>
      <c r="Q9" s="152"/>
      <c r="R9" s="152"/>
      <c r="S9" s="152"/>
      <c r="T9" s="152"/>
      <c r="U9" s="152"/>
      <c r="V9" s="152"/>
      <c r="W9" s="152"/>
    </row>
    <row r="10" spans="2:23" ht="12" customHeight="1" x14ac:dyDescent="0.2">
      <c r="B10" s="152"/>
      <c r="C10" s="426"/>
      <c r="D10" s="426"/>
      <c r="E10" s="426"/>
      <c r="F10" s="426"/>
      <c r="G10" s="426"/>
      <c r="H10" s="426"/>
      <c r="I10" s="426"/>
      <c r="J10" s="426"/>
      <c r="K10" s="426"/>
      <c r="L10" s="426"/>
      <c r="M10" s="152"/>
      <c r="N10" s="152"/>
      <c r="O10" s="152"/>
      <c r="P10" s="152"/>
      <c r="Q10" s="152"/>
      <c r="R10" s="152"/>
      <c r="S10" s="152"/>
      <c r="T10" s="152"/>
      <c r="U10" s="152"/>
      <c r="V10" s="152"/>
      <c r="W10" s="152"/>
    </row>
    <row r="11" spans="2:23" ht="16" customHeight="1" x14ac:dyDescent="0.2">
      <c r="B11" s="152"/>
      <c r="C11" s="426"/>
      <c r="D11" s="426"/>
      <c r="E11" s="426"/>
      <c r="F11" s="426"/>
      <c r="G11" s="426"/>
      <c r="H11" s="426"/>
      <c r="I11" s="426"/>
      <c r="J11" s="426"/>
      <c r="K11" s="426"/>
      <c r="L11" s="426"/>
      <c r="M11" s="152"/>
      <c r="N11" s="152"/>
      <c r="O11" s="152"/>
      <c r="P11" s="152"/>
      <c r="Q11" s="152"/>
      <c r="R11" s="152"/>
      <c r="S11" s="152"/>
      <c r="T11" s="152"/>
      <c r="U11" s="152"/>
      <c r="V11" s="152"/>
      <c r="W11" s="152"/>
    </row>
    <row r="12" spans="2:23" ht="14" customHeight="1" x14ac:dyDescent="0.2">
      <c r="B12" s="152"/>
      <c r="C12" s="426"/>
      <c r="D12" s="426"/>
      <c r="E12" s="426"/>
      <c r="F12" s="426"/>
      <c r="G12" s="426"/>
      <c r="H12" s="426"/>
      <c r="I12" s="426"/>
      <c r="J12" s="426"/>
      <c r="K12" s="426"/>
      <c r="L12" s="426"/>
      <c r="M12" s="152"/>
      <c r="N12" s="152"/>
      <c r="O12" s="152"/>
      <c r="P12" s="152"/>
      <c r="Q12" s="152"/>
      <c r="R12" s="152"/>
      <c r="S12" s="152"/>
      <c r="T12" s="152"/>
      <c r="U12" s="152"/>
      <c r="V12" s="152"/>
      <c r="W12" s="152"/>
    </row>
    <row r="13" spans="2:23" x14ac:dyDescent="0.2">
      <c r="C13" s="426"/>
      <c r="D13" s="426"/>
      <c r="E13" s="426"/>
      <c r="F13" s="426"/>
      <c r="G13" s="426"/>
      <c r="H13" s="426"/>
      <c r="I13" s="426"/>
      <c r="J13" s="426"/>
      <c r="K13" s="426"/>
      <c r="L13" s="426"/>
    </row>
    <row r="14" spans="2:23" x14ac:dyDescent="0.2">
      <c r="C14" s="426"/>
      <c r="D14" s="426"/>
      <c r="E14" s="426"/>
      <c r="F14" s="426"/>
      <c r="G14" s="426"/>
      <c r="H14" s="426"/>
      <c r="I14" s="426"/>
      <c r="J14" s="426"/>
      <c r="K14" s="426"/>
      <c r="L14" s="426"/>
    </row>
    <row r="15" spans="2:23" x14ac:dyDescent="0.2">
      <c r="C15" s="426"/>
      <c r="D15" s="426"/>
      <c r="E15" s="426"/>
      <c r="F15" s="426"/>
      <c r="G15" s="426"/>
      <c r="H15" s="426"/>
      <c r="I15" s="426"/>
      <c r="J15" s="426"/>
      <c r="K15" s="426"/>
      <c r="L15" s="426"/>
    </row>
    <row r="16" spans="2:23" x14ac:dyDescent="0.2">
      <c r="C16" s="426"/>
      <c r="D16" s="426"/>
      <c r="E16" s="426"/>
      <c r="F16" s="426"/>
      <c r="G16" s="426"/>
      <c r="H16" s="426"/>
      <c r="I16" s="426"/>
      <c r="J16" s="426"/>
      <c r="K16" s="426"/>
      <c r="L16" s="426"/>
    </row>
    <row r="17" spans="3:12" x14ac:dyDescent="0.2">
      <c r="C17" s="426"/>
      <c r="D17" s="426"/>
      <c r="E17" s="426"/>
      <c r="F17" s="426"/>
      <c r="G17" s="426"/>
      <c r="H17" s="426"/>
      <c r="I17" s="426"/>
      <c r="J17" s="426"/>
      <c r="K17" s="426"/>
      <c r="L17" s="426"/>
    </row>
    <row r="18" spans="3:12" x14ac:dyDescent="0.2">
      <c r="C18" s="426"/>
      <c r="D18" s="426"/>
      <c r="E18" s="426"/>
      <c r="F18" s="426"/>
      <c r="G18" s="426"/>
      <c r="H18" s="426"/>
      <c r="I18" s="426"/>
      <c r="J18" s="426"/>
      <c r="K18" s="426"/>
      <c r="L18" s="426"/>
    </row>
    <row r="19" spans="3:12" x14ac:dyDescent="0.2">
      <c r="C19" s="426"/>
      <c r="D19" s="426"/>
      <c r="E19" s="426"/>
      <c r="F19" s="426"/>
      <c r="G19" s="426"/>
      <c r="H19" s="426"/>
      <c r="I19" s="426"/>
      <c r="J19" s="426"/>
      <c r="K19" s="426"/>
      <c r="L19" s="426"/>
    </row>
    <row r="20" spans="3:12" x14ac:dyDescent="0.2">
      <c r="C20" s="426"/>
      <c r="D20" s="426"/>
      <c r="E20" s="426"/>
      <c r="F20" s="426"/>
      <c r="G20" s="426"/>
      <c r="H20" s="426"/>
      <c r="I20" s="426"/>
      <c r="J20" s="426"/>
      <c r="K20" s="426"/>
      <c r="L20" s="426"/>
    </row>
    <row r="22" spans="3:12" ht="18" x14ac:dyDescent="0.2">
      <c r="C22" s="392" t="s">
        <v>347</v>
      </c>
      <c r="D22" s="392"/>
      <c r="E22" s="392"/>
      <c r="F22" s="392"/>
      <c r="G22" s="392"/>
      <c r="H22" s="392"/>
      <c r="I22" s="392"/>
      <c r="J22" s="392"/>
      <c r="K22" s="392"/>
    </row>
    <row r="23" spans="3:12" ht="18" x14ac:dyDescent="0.2">
      <c r="C23" s="456" t="s">
        <v>350</v>
      </c>
      <c r="D23" s="443"/>
      <c r="E23" s="443"/>
      <c r="F23" s="443" t="s">
        <v>351</v>
      </c>
      <c r="G23" s="443"/>
      <c r="H23" s="443"/>
      <c r="I23" s="443" t="s">
        <v>352</v>
      </c>
      <c r="J23" s="443"/>
      <c r="K23" s="444"/>
    </row>
    <row r="24" spans="3:12" x14ac:dyDescent="0.2">
      <c r="C24" s="445">
        <v>30.82</v>
      </c>
      <c r="D24" s="446"/>
      <c r="E24" s="446"/>
      <c r="F24" s="446">
        <v>34</v>
      </c>
      <c r="G24" s="446"/>
      <c r="H24" s="446"/>
      <c r="I24" s="446">
        <v>30.63</v>
      </c>
      <c r="J24" s="446"/>
      <c r="K24" s="449"/>
    </row>
    <row r="25" spans="3:12" x14ac:dyDescent="0.2">
      <c r="C25" s="447"/>
      <c r="D25" s="448"/>
      <c r="E25" s="448"/>
      <c r="F25" s="448"/>
      <c r="G25" s="448"/>
      <c r="H25" s="448"/>
      <c r="I25" s="448"/>
      <c r="J25" s="448"/>
      <c r="K25" s="450"/>
    </row>
    <row r="26" spans="3:12" x14ac:dyDescent="0.2">
      <c r="C26" s="451" t="s">
        <v>348</v>
      </c>
      <c r="D26" s="414"/>
      <c r="E26" s="414"/>
      <c r="F26" s="414" t="s">
        <v>349</v>
      </c>
      <c r="G26" s="414"/>
      <c r="H26" s="414"/>
      <c r="I26" s="414" t="s">
        <v>387</v>
      </c>
      <c r="J26" s="414"/>
      <c r="K26" s="415"/>
    </row>
    <row r="31" spans="3:12" x14ac:dyDescent="0.2">
      <c r="C31" s="416" t="s">
        <v>353</v>
      </c>
      <c r="D31" s="416"/>
      <c r="E31" s="416"/>
      <c r="F31" s="416"/>
      <c r="G31" s="416"/>
      <c r="H31" s="416"/>
      <c r="I31" s="416"/>
      <c r="J31" s="416"/>
      <c r="K31" s="416"/>
    </row>
    <row r="32" spans="3:12" x14ac:dyDescent="0.2">
      <c r="C32" s="416"/>
      <c r="D32" s="416"/>
      <c r="E32" s="416"/>
      <c r="F32" s="416"/>
      <c r="G32" s="416"/>
      <c r="H32" s="416"/>
      <c r="I32" s="416"/>
      <c r="J32" s="416"/>
      <c r="K32" s="416"/>
    </row>
    <row r="33" spans="3:22" x14ac:dyDescent="0.2">
      <c r="C33" s="380" t="s">
        <v>356</v>
      </c>
      <c r="D33" s="423" t="s">
        <v>295</v>
      </c>
      <c r="E33" s="423"/>
      <c r="F33" s="381" t="s">
        <v>357</v>
      </c>
      <c r="G33" s="381" t="s">
        <v>358</v>
      </c>
      <c r="H33" s="381" t="s">
        <v>359</v>
      </c>
      <c r="I33" s="381" t="s">
        <v>360</v>
      </c>
      <c r="J33" s="381" t="s">
        <v>361</v>
      </c>
      <c r="K33" s="381" t="s">
        <v>362</v>
      </c>
    </row>
    <row r="34" spans="3:22" ht="38" customHeight="1" x14ac:dyDescent="0.2">
      <c r="C34" s="438" t="s">
        <v>350</v>
      </c>
      <c r="D34" s="424" t="s">
        <v>354</v>
      </c>
      <c r="E34" s="424"/>
      <c r="F34" s="382">
        <f>DCF!$C$33</f>
        <v>8324.6518410003646</v>
      </c>
      <c r="G34" s="382">
        <f>'Douglas''s History '!$C$149</f>
        <v>3423.6</v>
      </c>
      <c r="H34" s="170">
        <f t="shared" ref="H34:H45" si="0">F34-G34</f>
        <v>4901.0518410003642</v>
      </c>
      <c r="I34" s="244">
        <f>DCF!$C$37</f>
        <v>107.69</v>
      </c>
      <c r="J34" s="170">
        <f>DCF!$C$38</f>
        <v>45.510742325196063</v>
      </c>
      <c r="K34" s="383">
        <f t="shared" ref="K34:K45" si="1">J34/26-1</f>
        <v>0.75041316635369482</v>
      </c>
    </row>
    <row r="35" spans="3:22" ht="29" customHeight="1" x14ac:dyDescent="0.2">
      <c r="C35" s="438"/>
      <c r="D35" s="425" t="s">
        <v>355</v>
      </c>
      <c r="E35" s="425"/>
      <c r="F35" s="382">
        <f>DCF!$C$46</f>
        <v>6742.5306592133729</v>
      </c>
      <c r="G35" s="382">
        <f>'Douglas''s History '!$C$149</f>
        <v>3423.6</v>
      </c>
      <c r="H35" s="384">
        <f t="shared" si="0"/>
        <v>3318.930659213373</v>
      </c>
      <c r="I35" s="385">
        <f>DCF!$C$37</f>
        <v>107.69</v>
      </c>
      <c r="J35" s="384">
        <f>DCF!$C$50</f>
        <v>30.819302249172374</v>
      </c>
      <c r="K35" s="386">
        <f t="shared" si="1"/>
        <v>0.18535777881432214</v>
      </c>
    </row>
    <row r="36" spans="3:22" ht="30" customHeight="1" x14ac:dyDescent="0.2">
      <c r="C36" s="439" t="s">
        <v>374</v>
      </c>
      <c r="D36" s="417" t="s">
        <v>375</v>
      </c>
      <c r="E36" s="417"/>
      <c r="F36" s="384">
        <f>'DCF - Sensitivity Analysis'!$C$32</f>
        <v>7461.3116018272367</v>
      </c>
      <c r="G36" s="382">
        <f>'Douglas''s History '!$C$149</f>
        <v>3423.6</v>
      </c>
      <c r="H36" s="384">
        <f t="shared" si="0"/>
        <v>4037.7116018272368</v>
      </c>
      <c r="I36" s="385">
        <f>DCF!$C$37</f>
        <v>107.69</v>
      </c>
      <c r="J36" s="384">
        <f>'DCF - Sensitivity Analysis'!$C$37</f>
        <v>37.493839742104534</v>
      </c>
      <c r="K36" s="386">
        <f t="shared" si="1"/>
        <v>0.4420707593117128</v>
      </c>
    </row>
    <row r="37" spans="3:22" x14ac:dyDescent="0.2">
      <c r="C37" s="440"/>
      <c r="D37" s="417" t="s">
        <v>376</v>
      </c>
      <c r="E37" s="417"/>
      <c r="F37" s="384">
        <f>'DCF - Sensitivity Analysis'!$C$65</f>
        <v>6568.3286335881057</v>
      </c>
      <c r="G37" s="382">
        <f>'Douglas''s History '!$C$149</f>
        <v>3423.6</v>
      </c>
      <c r="H37" s="384">
        <f t="shared" si="0"/>
        <v>3144.7286335881058</v>
      </c>
      <c r="I37" s="385">
        <f>DCF!$C$37</f>
        <v>107.69</v>
      </c>
      <c r="J37" s="384">
        <f>'DCF - Sensitivity Analysis'!$C$71</f>
        <v>29.201677347832721</v>
      </c>
      <c r="K37" s="386">
        <f t="shared" si="1"/>
        <v>0.12314143645510467</v>
      </c>
    </row>
    <row r="38" spans="3:22" ht="19" customHeight="1" x14ac:dyDescent="0.2">
      <c r="C38" s="452" t="s">
        <v>363</v>
      </c>
      <c r="D38" s="417" t="s">
        <v>365</v>
      </c>
      <c r="E38" s="417"/>
      <c r="F38" s="384">
        <f>APV!$C$24</f>
        <v>9430.1534357456439</v>
      </c>
      <c r="G38" s="382">
        <f>'Douglas''s History '!$C$149</f>
        <v>3423.6</v>
      </c>
      <c r="H38" s="384">
        <f t="shared" si="0"/>
        <v>6006.5534357456436</v>
      </c>
      <c r="I38" s="385">
        <f>DCF!$C$37</f>
        <v>107.69</v>
      </c>
      <c r="J38" s="384">
        <f>APV!$C$31</f>
        <v>55.77633425337212</v>
      </c>
      <c r="K38" s="386">
        <f t="shared" si="1"/>
        <v>1.1452436251296971</v>
      </c>
    </row>
    <row r="39" spans="3:22" ht="18" customHeight="1" x14ac:dyDescent="0.2">
      <c r="C39" s="438"/>
      <c r="D39" s="417" t="s">
        <v>366</v>
      </c>
      <c r="E39" s="417"/>
      <c r="F39" s="384">
        <f>'APV - Sensitivity Analysis'!$D$17</f>
        <v>6341.6756740944511</v>
      </c>
      <c r="G39" s="382">
        <f>'Douglas''s History '!$C$149</f>
        <v>3423.6</v>
      </c>
      <c r="H39" s="384">
        <f t="shared" si="0"/>
        <v>2918.0756740944512</v>
      </c>
      <c r="I39" s="385">
        <f>DCF!$C$37</f>
        <v>107.69</v>
      </c>
      <c r="J39" s="384">
        <f>'APV - Sensitivity Analysis'!$D$36</f>
        <v>34.000396340074026</v>
      </c>
      <c r="K39" s="386">
        <f t="shared" si="1"/>
        <v>0.3077075515413088</v>
      </c>
    </row>
    <row r="40" spans="3:22" ht="22" customHeight="1" x14ac:dyDescent="0.2">
      <c r="C40" s="453" t="s">
        <v>364</v>
      </c>
      <c r="D40" s="417" t="s">
        <v>367</v>
      </c>
      <c r="E40" s="417"/>
      <c r="F40" s="384">
        <f>Multiples!$M$8</f>
        <v>12932.060714646119</v>
      </c>
      <c r="G40" s="382">
        <f>'Douglas''s History '!$C$149</f>
        <v>3423.6</v>
      </c>
      <c r="H40" s="384">
        <f t="shared" si="0"/>
        <v>9508.4607146461185</v>
      </c>
      <c r="I40" s="385">
        <f>DCF!$C$37</f>
        <v>107.69</v>
      </c>
      <c r="J40" s="384">
        <f>Multiples!$N$8</f>
        <v>88.294741523318024</v>
      </c>
      <c r="K40" s="386">
        <f t="shared" si="1"/>
        <v>2.395951597050693</v>
      </c>
    </row>
    <row r="41" spans="3:22" ht="31" customHeight="1" x14ac:dyDescent="0.2">
      <c r="C41" s="454"/>
      <c r="D41" s="417" t="s">
        <v>368</v>
      </c>
      <c r="E41" s="417"/>
      <c r="F41" s="384">
        <f>Multiples!$M$9</f>
        <v>12214.638798600061</v>
      </c>
      <c r="G41" s="382">
        <f>'Douglas''s History '!$C$149</f>
        <v>3423.6</v>
      </c>
      <c r="H41" s="384">
        <f t="shared" si="0"/>
        <v>8791.0387986000605</v>
      </c>
      <c r="I41" s="385">
        <f>DCF!$C$37</f>
        <v>107.69</v>
      </c>
      <c r="J41" s="384">
        <f>Multiples!$N$9</f>
        <v>81.632823833225558</v>
      </c>
      <c r="K41" s="386">
        <f t="shared" si="1"/>
        <v>2.1397239935855983</v>
      </c>
    </row>
    <row r="42" spans="3:22" ht="19" customHeight="1" x14ac:dyDescent="0.2">
      <c r="C42" s="454"/>
      <c r="D42" s="417" t="s">
        <v>369</v>
      </c>
      <c r="E42" s="417"/>
      <c r="F42" s="384">
        <f>Multiples!$M$10</f>
        <v>6760.3776229402192</v>
      </c>
      <c r="G42" s="382">
        <f>'Douglas''s History '!$C$149</f>
        <v>3423.6</v>
      </c>
      <c r="H42" s="384">
        <f t="shared" si="0"/>
        <v>3336.7776229402193</v>
      </c>
      <c r="I42" s="385">
        <f>DCF!$C$37</f>
        <v>107.69</v>
      </c>
      <c r="J42" s="384">
        <f>Multiples!$N$10</f>
        <v>30.985027606465032</v>
      </c>
      <c r="K42" s="386">
        <f t="shared" si="1"/>
        <v>0.19173183101788593</v>
      </c>
    </row>
    <row r="43" spans="3:22" ht="18" customHeight="1" x14ac:dyDescent="0.2">
      <c r="C43" s="454"/>
      <c r="D43" s="417" t="s">
        <v>370</v>
      </c>
      <c r="E43" s="417"/>
      <c r="F43" s="384">
        <f>Multiples!$M$11</f>
        <v>6721.6530088487607</v>
      </c>
      <c r="G43" s="382">
        <f>'Douglas''s History '!$C$149</f>
        <v>3423.6</v>
      </c>
      <c r="H43" s="384">
        <f t="shared" si="0"/>
        <v>3298.0530088487608</v>
      </c>
      <c r="I43" s="385">
        <f>DCF!$C$37</f>
        <v>107.69</v>
      </c>
      <c r="J43" s="384">
        <f>Multiples!$N$11</f>
        <v>30.62543419861418</v>
      </c>
      <c r="K43" s="386">
        <f t="shared" si="1"/>
        <v>0.1779013153313147</v>
      </c>
      <c r="M43" s="429" t="s">
        <v>377</v>
      </c>
      <c r="N43" s="430"/>
      <c r="O43" s="430"/>
      <c r="P43" s="430"/>
      <c r="Q43" s="430"/>
      <c r="R43" s="430"/>
      <c r="S43" s="430"/>
      <c r="T43" s="430"/>
      <c r="U43" s="430"/>
      <c r="V43" s="431"/>
    </row>
    <row r="44" spans="3:22" ht="18" customHeight="1" x14ac:dyDescent="0.2">
      <c r="C44" s="453" t="s">
        <v>371</v>
      </c>
      <c r="D44" s="418" t="s">
        <v>372</v>
      </c>
      <c r="E44" s="418"/>
      <c r="F44" s="382">
        <f>Multiples!$M$12</f>
        <v>8132.6056336069123</v>
      </c>
      <c r="G44" s="382">
        <f>'Douglas''s History '!$C$149</f>
        <v>3423.6</v>
      </c>
      <c r="H44" s="382">
        <f t="shared" si="0"/>
        <v>4709.0056336069119</v>
      </c>
      <c r="I44" s="387">
        <f>DCF!$C$37</f>
        <v>107.69</v>
      </c>
      <c r="J44" s="382">
        <f>Multiples!$N$12</f>
        <v>43.727417899590606</v>
      </c>
      <c r="K44" s="388">
        <f t="shared" si="1"/>
        <v>0.68182376536886946</v>
      </c>
      <c r="M44" s="432"/>
      <c r="N44" s="433"/>
      <c r="O44" s="433"/>
      <c r="P44" s="433"/>
      <c r="Q44" s="433"/>
      <c r="R44" s="433"/>
      <c r="S44" s="433"/>
      <c r="T44" s="433"/>
      <c r="U44" s="433"/>
      <c r="V44" s="434"/>
    </row>
    <row r="45" spans="3:22" x14ac:dyDescent="0.2">
      <c r="C45" s="455"/>
      <c r="D45" s="419" t="s">
        <v>373</v>
      </c>
      <c r="E45" s="419"/>
      <c r="F45" s="370">
        <f>Multiples!$M$13</f>
        <v>4626.4834793235996</v>
      </c>
      <c r="G45" s="382">
        <f>'Douglas''s History '!$C$149</f>
        <v>3423.6</v>
      </c>
      <c r="H45" s="370">
        <f t="shared" si="0"/>
        <v>1202.8834793235997</v>
      </c>
      <c r="I45" s="372">
        <f>DCF!$C$37</f>
        <v>107.69</v>
      </c>
      <c r="J45" s="170">
        <f>Multiples!$N$13</f>
        <v>11.16987166239762</v>
      </c>
      <c r="K45" s="389">
        <f t="shared" si="1"/>
        <v>-0.57038955144624537</v>
      </c>
      <c r="M45" s="435"/>
      <c r="N45" s="436"/>
      <c r="O45" s="436"/>
      <c r="P45" s="436"/>
      <c r="Q45" s="436"/>
      <c r="R45" s="436"/>
      <c r="S45" s="436"/>
      <c r="T45" s="436"/>
      <c r="U45" s="436"/>
      <c r="V45" s="437"/>
    </row>
    <row r="46" spans="3:22" x14ac:dyDescent="0.2">
      <c r="C46" s="441" t="s">
        <v>381</v>
      </c>
      <c r="D46" s="441"/>
      <c r="E46" s="441"/>
      <c r="F46" s="441"/>
      <c r="G46" s="441"/>
      <c r="H46" s="441"/>
      <c r="I46" s="442"/>
      <c r="J46" s="390">
        <f>AVERAGE(J34:J45)</f>
        <v>43.269800748446904</v>
      </c>
      <c r="K46" s="152"/>
    </row>
    <row r="47" spans="3:22" x14ac:dyDescent="0.2">
      <c r="C47" s="427" t="s">
        <v>382</v>
      </c>
      <c r="D47" s="427"/>
      <c r="E47" s="427"/>
      <c r="F47" s="427"/>
      <c r="G47" s="427"/>
      <c r="H47" s="427"/>
      <c r="I47" s="428"/>
      <c r="J47" s="390">
        <f>MEDIAN(J34:J45)</f>
        <v>35.74711804108928</v>
      </c>
      <c r="K47" s="152"/>
    </row>
  </sheetData>
  <mergeCells count="34">
    <mergeCell ref="C23:E23"/>
    <mergeCell ref="F23:H23"/>
    <mergeCell ref="F24:H25"/>
    <mergeCell ref="I24:K25"/>
    <mergeCell ref="C26:E26"/>
    <mergeCell ref="C38:C39"/>
    <mergeCell ref="C40:C43"/>
    <mergeCell ref="C47:I47"/>
    <mergeCell ref="M43:V45"/>
    <mergeCell ref="C34:C35"/>
    <mergeCell ref="C36:C37"/>
    <mergeCell ref="C46:I46"/>
    <mergeCell ref="C44:C45"/>
    <mergeCell ref="C1:L3"/>
    <mergeCell ref="C5:L6"/>
    <mergeCell ref="D41:E41"/>
    <mergeCell ref="D42:E42"/>
    <mergeCell ref="D37:E37"/>
    <mergeCell ref="D38:E38"/>
    <mergeCell ref="D39:E39"/>
    <mergeCell ref="D40:E40"/>
    <mergeCell ref="D33:E33"/>
    <mergeCell ref="D34:E34"/>
    <mergeCell ref="D35:E35"/>
    <mergeCell ref="D36:E36"/>
    <mergeCell ref="F26:H26"/>
    <mergeCell ref="C7:L20"/>
    <mergeCell ref="I23:K23"/>
    <mergeCell ref="C24:E25"/>
    <mergeCell ref="I26:K26"/>
    <mergeCell ref="C31:K32"/>
    <mergeCell ref="D43:E43"/>
    <mergeCell ref="D44:E44"/>
    <mergeCell ref="D45:E4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Douglas's History </vt:lpstr>
      <vt:lpstr>Key Assumptions</vt:lpstr>
      <vt:lpstr>Beta &amp; WACC Estimation</vt:lpstr>
      <vt:lpstr>DCF</vt:lpstr>
      <vt:lpstr>DCF - Sensitivity Analysis</vt:lpstr>
      <vt:lpstr>APV</vt:lpstr>
      <vt:lpstr>APV - Sensitivity Analysis</vt:lpstr>
      <vt:lpstr>Multiples</vt:lpstr>
      <vt:lpstr>Key Valuation Outputs</vt:lpstr>
    </vt:vector>
  </TitlesOfParts>
  <Manager/>
  <Company>LUISS Guido Carli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Fabrizio Core</dc:creator>
  <cp:keywords/>
  <dc:description/>
  <cp:lastModifiedBy>CERULLO Giuliano</cp:lastModifiedBy>
  <cp:revision/>
  <dcterms:created xsi:type="dcterms:W3CDTF">2025-11-19T15:28:07Z</dcterms:created>
  <dcterms:modified xsi:type="dcterms:W3CDTF">2026-10-19T18:45:20Z</dcterms:modified>
  <cp:category/>
  <cp:contentStatus/>
</cp:coreProperties>
</file>